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8040" windowHeight="5985" firstSheet="2" activeTab="3"/>
  </bookViews>
  <sheets>
    <sheet name="水銀" sheetId="1" r:id="rId1"/>
    <sheet name="濃度全" sheetId="2" r:id="rId2"/>
    <sheet name="Sheet1" sheetId="3" r:id="rId3"/>
    <sheet name="用量反応" sheetId="4" r:id="rId4"/>
    <sheet name="tbt" sheetId="5" r:id="rId5"/>
    <sheet name="HC5" sheetId="6" r:id="rId6"/>
    <sheet name="2生命表b" sheetId="7" r:id="rId7"/>
    <sheet name="個体群リスク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" localSheetId="6" hidden="1">'[4]d5-1'!$B$3:$B$127</definedName>
    <definedName name="__123Graph_A" hidden="1">'[1]d5-1'!$B$3:$B$127</definedName>
    <definedName name="__123Graph_Aｸﾞﾗﾌ1" localSheetId="6" hidden="1">'[4]d14-6'!$B$1:$AY$1</definedName>
    <definedName name="__123Graph_Aｸﾞﾗﾌ1" hidden="1">'[1]d14-6'!$B$1:$AY$1</definedName>
    <definedName name="__123Graph_Aｸﾞﾗﾌ2" localSheetId="6" hidden="1">'[4]d5-1'!$B$3:$B$127</definedName>
    <definedName name="__123Graph_Aｸﾞﾗﾌ2" hidden="1">'[1]d5-1'!$B$3:$B$127</definedName>
    <definedName name="__123Graph_Aｸﾞﾗﾌ3" localSheetId="6" hidden="1">'[4]d5-1'!$B$3:$B$127</definedName>
    <definedName name="__123Graph_Aｸﾞﾗﾌ3" hidden="1">'[1]d5-1'!$B$3:$B$127</definedName>
    <definedName name="__123Graph_Bｸﾞﾗﾌ1" localSheetId="6" hidden="1">'[4]d14-6'!$B$2:$AY$2</definedName>
    <definedName name="__123Graph_Bｸﾞﾗﾌ1" hidden="1">'[1]d14-6'!$B$2:$AY$2</definedName>
    <definedName name="__123Graph_Cｸﾞﾗﾌ1" localSheetId="6" hidden="1">'[4]d14-6'!$B$3:$AY$3</definedName>
    <definedName name="__123Graph_Cｸﾞﾗﾌ1" hidden="1">'[1]d14-6'!$B$3:$AY$3</definedName>
    <definedName name="__123Graph_Dｸﾞﾗﾌ1" localSheetId="6" hidden="1">'[4]d14-6'!$B$4:$AY$4</definedName>
    <definedName name="__123Graph_Dｸﾞﾗﾌ1" hidden="1">'[1]d14-6'!$B$4:$AY$4</definedName>
    <definedName name="__123Graph_Eｸﾞﾗﾌ1" localSheetId="6" hidden="1">'[4]d5-1'!$N$2:$N$20</definedName>
    <definedName name="__123Graph_Eｸﾞﾗﾌ1" hidden="1">'[1]d5-1'!$N$2:$N$20</definedName>
    <definedName name="__123Graph_Fｸﾞﾗﾌ1" localSheetId="6" hidden="1">'[4]d5-1'!$O$2:$O$20</definedName>
    <definedName name="__123Graph_Fｸﾞﾗﾌ1" hidden="1">'[1]d5-1'!$O$2:$O$20</definedName>
    <definedName name="__123Graph_X" localSheetId="6" hidden="1">'[4]d5-1'!$A$3:$A$127</definedName>
    <definedName name="__123Graph_X" hidden="1">'[1]d5-1'!$A$3:$A$127</definedName>
    <definedName name="__123Graph_Xｸﾞﾗﾌ1" localSheetId="6" hidden="1">'[4]d14-6'!$B$1:$AY$1</definedName>
    <definedName name="__123Graph_Xｸﾞﾗﾌ1" hidden="1">'[1]d14-6'!$B$1:$AY$1</definedName>
    <definedName name="__123Graph_Xｸﾞﾗﾌ2" localSheetId="6" hidden="1">'[4]d5-1'!$A$3:$A$127</definedName>
    <definedName name="__123Graph_Xｸﾞﾗﾌ2" hidden="1">'[1]d5-1'!$A$3:$A$127</definedName>
    <definedName name="__123Graph_Xｸﾞﾗﾌ3" localSheetId="6" hidden="1">'[4]d5-1'!$A$3:$A$127</definedName>
    <definedName name="__123Graph_Xｸﾞﾗﾌ3" hidden="1">'[1]d5-1'!$A$3:$A$127</definedName>
    <definedName name="_10___123Graph_Xｸﾞﾗﾌ_1" hidden="1">'[6]トド駆除数'!#REF!</definedName>
    <definedName name="_12___123Graph_Xｸﾞﾗﾌ_2" hidden="1">'[6]トド駆除数'!#REF!</definedName>
    <definedName name="_13__123Graph_Aｸﾞﾗﾌ_1" hidden="1">#REF!</definedName>
    <definedName name="_14__123Graph_Aｸﾞﾗﾌ_2" hidden="1">#REF!</definedName>
    <definedName name="_15__123Graph_Aｸﾞﾗﾌ_3" hidden="1">'[4]d5-1'!$B$3:$B$127</definedName>
    <definedName name="_16__123Graph_Bｸﾞﾗﾌ_1" hidden="1">'[4]d14-6'!$B$2:$AY$2</definedName>
    <definedName name="_17__123Graph_Cｸﾞﾗﾌ_1" hidden="1">'[4]d14-6'!$B$3:$AY$3</definedName>
    <definedName name="_18__123Graph_Dｸﾞﾗﾌ_1" hidden="1">'[4]d14-6'!$B$4:$AY$4</definedName>
    <definedName name="_19__123Graph_Eｸﾞﾗﾌ_1" hidden="1">'[4]d5-1'!$N$2:$N$20</definedName>
    <definedName name="_20__123Graph_Fｸﾞﾗﾌ_1" hidden="1">'[4]d5-1'!$O$2:$O$20</definedName>
    <definedName name="_21__123Graph_Xｸﾞﾗﾌ_1" hidden="1">#REF!</definedName>
    <definedName name="_22__123Graph_Xｸﾞﾗﾌ_2" hidden="1">#REF!</definedName>
    <definedName name="_23__123Graph_Xｸﾞﾗﾌ_3" hidden="1">'[4]d5-1'!$A$3:$A$127</definedName>
    <definedName name="_4____123Graph_Xｸﾞﾗﾌ_1" hidden="1">'[6]トド駆除数'!#REF!</definedName>
    <definedName name="_53graph_A" hidden="1">'[3]捕獲'!$B$3:$B$127</definedName>
    <definedName name="_53graph_Aグラフ1" hidden="1">'[3]捕獲'!$B$3:$B$126</definedName>
    <definedName name="_6____123Graph_Xｸﾞﾗﾌ_2" hidden="1">'[6]トド駆除数'!#REF!</definedName>
    <definedName name="aaa" hidden="1">'[4]d14-6'!$B$1:$AY$1</definedName>
    <definedName name="bbb" hidden="1">'[4]d5-1'!$B$3:$B$127</definedName>
    <definedName name="ccc" hidden="1">'[4]d5-1'!$B$3:$B$127</definedName>
    <definedName name="ddd" hidden="1">'[4]d14-6'!$B$2:$AY$2</definedName>
    <definedName name="eee" hidden="1">'[4]d14-6'!$B$3:$AY$3</definedName>
    <definedName name="fff" hidden="1">'[4]d14-6'!$B$4:$AY$4</definedName>
    <definedName name="G">'[5]表7'!#REF!</definedName>
    <definedName name="ggg" hidden="1">'[4]d5-1'!$N$2:$N$20</definedName>
    <definedName name="graph10" hidden="1">'[2]catch'!$P$2:$P$20</definedName>
    <definedName name="graph11" hidden="1">'[2]catch'!$A$3:$A$126</definedName>
    <definedName name="graph12" hidden="1">'[2]catch'!$A$3:$A$127</definedName>
    <definedName name="graph13" hidden="1">'[2]catch'!$A$3:$A$127</definedName>
    <definedName name="graph3" hidden="1">'[2]catch'!$B$3:$B$126</definedName>
    <definedName name="graph4" hidden="1">'[2]catch'!$B$3:$B$127</definedName>
    <definedName name="graph5" hidden="1">'[2]catch'!$B$3:$B$127</definedName>
    <definedName name="graph6" hidden="1">'[2]catch'!$L$2:$L$20</definedName>
    <definedName name="graph7" hidden="1">'[2]catch'!$M$2:$M$20</definedName>
    <definedName name="graph8" hidden="1">'[2]catch'!$N$2:$N$20</definedName>
    <definedName name="graph9" hidden="1">'[2]catch'!$O$2:$O$20</definedName>
    <definedName name="graphx" hidden="1">'[2]catch'!$A$3:$A$127</definedName>
    <definedName name="hhh" hidden="1">'[4]d5-1'!$O$2:$O$20</definedName>
    <definedName name="iii" hidden="1">'[4]d14-6'!$B$1:$AY$1</definedName>
    <definedName name="jjj" hidden="1">'[4]d5-1'!$A$3:$A$127</definedName>
    <definedName name="kkk" hidden="1">'[4]d5-1'!$A$3:$A$127</definedName>
    <definedName name="solver_adj" localSheetId="6" hidden="1">'2生命表b'!$C$14</definedName>
    <definedName name="solver_adj" localSheetId="7" hidden="1">'個体群リスク'!$A$35</definedName>
    <definedName name="solver_adj" localSheetId="3" hidden="1">'用量反応'!$E$2:$F$4</definedName>
    <definedName name="solver_cvg" localSheetId="6" hidden="1">0.0001</definedName>
    <definedName name="solver_cvg" localSheetId="7" hidden="1">0.0001</definedName>
    <definedName name="solver_cvg" localSheetId="3" hidden="1">0.0001</definedName>
    <definedName name="solver_drv" localSheetId="6" hidden="1">1</definedName>
    <definedName name="solver_drv" localSheetId="7" hidden="1">1</definedName>
    <definedName name="solver_drv" localSheetId="3" hidden="1">1</definedName>
    <definedName name="solver_est" localSheetId="6" hidden="1">1</definedName>
    <definedName name="solver_est" localSheetId="7" hidden="1">1</definedName>
    <definedName name="solver_est" localSheetId="3" hidden="1">1</definedName>
    <definedName name="solver_itr" localSheetId="6" hidden="1">100</definedName>
    <definedName name="solver_itr" localSheetId="7" hidden="1">100</definedName>
    <definedName name="solver_itr" localSheetId="3" hidden="1">100</definedName>
    <definedName name="solver_lhs1" localSheetId="3" hidden="1">'用量反応'!#REF!</definedName>
    <definedName name="solver_lhs2" localSheetId="3" hidden="1">'用量反応'!#REF!</definedName>
    <definedName name="solver_lhs3" localSheetId="3" hidden="1">'用量反応'!#REF!</definedName>
    <definedName name="solver_lhs4" localSheetId="3" hidden="1">'用量反応'!#REF!</definedName>
    <definedName name="solver_lin" localSheetId="6" hidden="1">2</definedName>
    <definedName name="solver_lin" localSheetId="7" hidden="1">2</definedName>
    <definedName name="solver_lin" localSheetId="3" hidden="1">2</definedName>
    <definedName name="solver_neg" localSheetId="6" hidden="1">2</definedName>
    <definedName name="solver_neg" localSheetId="7" hidden="1">2</definedName>
    <definedName name="solver_neg" localSheetId="3" hidden="1">2</definedName>
    <definedName name="solver_num" localSheetId="6" hidden="1">0</definedName>
    <definedName name="solver_num" localSheetId="7" hidden="1">0</definedName>
    <definedName name="solver_num" localSheetId="3" hidden="1">0</definedName>
    <definedName name="solver_nwt" localSheetId="6" hidden="1">1</definedName>
    <definedName name="solver_nwt" localSheetId="7" hidden="1">1</definedName>
    <definedName name="solver_nwt" localSheetId="3" hidden="1">1</definedName>
    <definedName name="solver_opt" localSheetId="6" hidden="1">'2生命表b'!#REF!</definedName>
    <definedName name="solver_opt" localSheetId="7" hidden="1">'個体群リスク'!$B$35</definedName>
    <definedName name="solver_opt" localSheetId="3" hidden="1">'用量反応'!$A$3</definedName>
    <definedName name="solver_pre" localSheetId="6" hidden="1">0.000001</definedName>
    <definedName name="solver_pre" localSheetId="7" hidden="1">0.000001</definedName>
    <definedName name="solver_pre" localSheetId="3" hidden="1">0.000001</definedName>
    <definedName name="solver_rel1" localSheetId="3" hidden="1">3</definedName>
    <definedName name="solver_rel2" localSheetId="3" hidden="1">3</definedName>
    <definedName name="solver_rel3" localSheetId="3" hidden="1">3</definedName>
    <definedName name="solver_rel4" localSheetId="3" hidden="1">3</definedName>
    <definedName name="solver_rhs1" localSheetId="3" hidden="1">0</definedName>
    <definedName name="solver_rhs2" localSheetId="3" hidden="1">0</definedName>
    <definedName name="solver_rhs3" localSheetId="3" hidden="1">0</definedName>
    <definedName name="solver_rhs4" localSheetId="3" hidden="1">0</definedName>
    <definedName name="solver_scl" localSheetId="6" hidden="1">2</definedName>
    <definedName name="solver_scl" localSheetId="7" hidden="1">2</definedName>
    <definedName name="solver_scl" localSheetId="3" hidden="1">2</definedName>
    <definedName name="solver_sho" localSheetId="6" hidden="1">2</definedName>
    <definedName name="solver_sho" localSheetId="7" hidden="1">2</definedName>
    <definedName name="solver_sho" localSheetId="3" hidden="1">2</definedName>
    <definedName name="solver_tim" localSheetId="6" hidden="1">100</definedName>
    <definedName name="solver_tim" localSheetId="7" hidden="1">100</definedName>
    <definedName name="solver_tim" localSheetId="3" hidden="1">100</definedName>
    <definedName name="solver_tol" localSheetId="6" hidden="1">0.05</definedName>
    <definedName name="solver_tol" localSheetId="7" hidden="1">0.05</definedName>
    <definedName name="solver_tol" localSheetId="3" hidden="1">0.05</definedName>
    <definedName name="solver_typ" localSheetId="6" hidden="1">3</definedName>
    <definedName name="solver_typ" localSheetId="7" hidden="1">3</definedName>
    <definedName name="solver_typ" localSheetId="3" hidden="1">2</definedName>
    <definedName name="solver_val" localSheetId="6" hidden="1">1</definedName>
    <definedName name="solver_val" localSheetId="7" hidden="1">0</definedName>
    <definedName name="solver_val" localSheetId="3" hidden="1">0</definedName>
    <definedName name="W">'[5]表7'!#REF!</definedName>
    <definedName name="X">'[5]表7'!#REF!</definedName>
    <definedName name="Ya">'[5]表7'!#REF!</definedName>
    <definedName name="Z">'[5]表7'!#REF!</definedName>
    <definedName name="あ" hidden="1">'[3]捕獲'!$B$3:$B$127</definedName>
    <definedName name="亜成獣構成比1968">'[6]捕殺数'!#REF!</definedName>
    <definedName name="雌亜成獣個体数1968">'[6]捕殺数'!#REF!</definedName>
    <definedName name="雌亜成獣生存率">'[6]捕殺数'!#REF!</definedName>
    <definedName name="雌個体数1968">'[6]捕殺数'!#REF!</definedName>
    <definedName name="雌出生率">'[6]捕殺数'!#REF!</definedName>
    <definedName name="雌成獣個体数1968">'[6]捕殺数'!#REF!</definedName>
    <definedName name="雌成獣生存率">'[6]捕殺数'!#REF!</definedName>
    <definedName name="雌捕殺数">'[6]捕殺数'!#REF!</definedName>
    <definedName name="出産間隔">'[6]捕殺数'!#REF!</definedName>
    <definedName name="出産数">'[6]捕殺数'!#REF!</definedName>
    <definedName name="出産数変動幅">'[6]捕殺数'!#REF!</definedName>
    <definedName name="成獣構成比1968">'[6]捕殺数'!#REF!</definedName>
    <definedName name="不確実性">'[6]捕殺数'!#REF!</definedName>
    <definedName name="雄亜成獣個体数1968">'[6]捕殺数'!#REF!</definedName>
    <definedName name="雄亜成獣生存率">'[6]捕殺数'!#REF!</definedName>
    <definedName name="雄個体数1968">'[6]捕殺数'!#REF!</definedName>
    <definedName name="雄出生率">'[6]捕殺数'!#REF!</definedName>
    <definedName name="雄成獣個体数1968">'[6]捕殺数'!#REF!</definedName>
    <definedName name="雄成獣生存率">'[6]捕殺数'!#REF!</definedName>
    <definedName name="雄捕殺数">'[6]捕殺数'!#REF!</definedName>
    <definedName name="幼獣生存率">'[6]捕殺数'!#REF!</definedName>
  </definedNames>
  <calcPr fullCalcOnLoad="1"/>
</workbook>
</file>

<file path=xl/sharedStrings.xml><?xml version="1.0" encoding="utf-8"?>
<sst xmlns="http://schemas.openxmlformats.org/spreadsheetml/2006/main" count="176" uniqueCount="138">
  <si>
    <t>表3</t>
  </si>
  <si>
    <t>メチル水銀摂取量</t>
  </si>
  <si>
    <t>赤血球中濃度</t>
  </si>
  <si>
    <t>ppm</t>
  </si>
  <si>
    <t>許容水準</t>
  </si>
  <si>
    <t>耐容水準</t>
  </si>
  <si>
    <t>平均的摂取量</t>
  </si>
  <si>
    <t>平均的メチル水銀摂取量</t>
  </si>
  <si>
    <t>1960年代の水俣病患者</t>
  </si>
  <si>
    <t>μｇ/日</t>
  </si>
  <si>
    <t>成人のリスク</t>
  </si>
  <si>
    <t>胎児のリスク</t>
  </si>
  <si>
    <t>胎児</t>
  </si>
  <si>
    <t>幾何平均</t>
  </si>
  <si>
    <t>幾何標準偏差</t>
  </si>
  <si>
    <t>ppm</t>
  </si>
  <si>
    <t>代謝＋感受性</t>
  </si>
  <si>
    <t>摂取量＋代謝能</t>
  </si>
  <si>
    <t>成人</t>
  </si>
  <si>
    <t>最小</t>
  </si>
  <si>
    <t>最大</t>
  </si>
  <si>
    <t>平均</t>
  </si>
  <si>
    <t>-</t>
  </si>
  <si>
    <t>キンメダイ</t>
  </si>
  <si>
    <t>ギンダラ</t>
  </si>
  <si>
    <t>ブリ</t>
  </si>
  <si>
    <t>マサバ</t>
  </si>
  <si>
    <t>マダイ</t>
  </si>
  <si>
    <t>ニジマス</t>
  </si>
  <si>
    <t>アユ</t>
  </si>
  <si>
    <t>サンマ</t>
  </si>
  <si>
    <t>ヒラメ</t>
  </si>
  <si>
    <t>スルメイカ</t>
  </si>
  <si>
    <t>サワラ</t>
  </si>
  <si>
    <t>ホタテ</t>
  </si>
  <si>
    <t>アサリ</t>
  </si>
  <si>
    <t>http://www.nihs.go.jp/hse/food-info/mhlw/news/050812/050812.html</t>
  </si>
  <si>
    <t>総水銀検体数</t>
  </si>
  <si>
    <t>標準誤差(推定値)</t>
  </si>
  <si>
    <t>%-ile</t>
  </si>
  <si>
    <t>ミンククジラ</t>
  </si>
  <si>
    <t>ウナギ（蒲焼）</t>
  </si>
  <si>
    <t>クロマグロ</t>
  </si>
  <si>
    <t>メチル水銀濃度(ppm)</t>
  </si>
  <si>
    <t>データ</t>
  </si>
  <si>
    <t>閾値ありのモデル</t>
  </si>
  <si>
    <t>閾値無しのモデル</t>
  </si>
  <si>
    <t>誤差</t>
  </si>
  <si>
    <t>Log10 x</t>
  </si>
  <si>
    <t>x</t>
  </si>
  <si>
    <t>Log10 y</t>
  </si>
  <si>
    <t>y</t>
  </si>
  <si>
    <t xml:space="preserve">1群 米・米加工品 </t>
  </si>
  <si>
    <t xml:space="preserve">2群 穀類・種実類・芋類 </t>
  </si>
  <si>
    <t xml:space="preserve">3群 砂糖類・菓子類 </t>
  </si>
  <si>
    <t xml:space="preserve">4群 油脂類 </t>
  </si>
  <si>
    <t xml:space="preserve">5群 豆類 </t>
  </si>
  <si>
    <t xml:space="preserve">6群 果実類 </t>
  </si>
  <si>
    <t xml:space="preserve">7群 緑黄色野菜 </t>
  </si>
  <si>
    <t xml:space="preserve">8群 その他の野菜・きのこ類・海草類 </t>
  </si>
  <si>
    <t xml:space="preserve">9群 調味・嗜好飲料 </t>
  </si>
  <si>
    <t xml:space="preserve">10群 魚介類 </t>
  </si>
  <si>
    <t xml:space="preserve">11群 肉類・卵類 </t>
  </si>
  <si>
    <t xml:space="preserve">12群 乳類 </t>
  </si>
  <si>
    <t xml:space="preserve">13群 その他の食品 </t>
  </si>
  <si>
    <t xml:space="preserve">14群 飲料水 </t>
  </si>
  <si>
    <t>食品群</t>
  </si>
  <si>
    <t>食品群</t>
  </si>
  <si>
    <t>http://www.pref.kanagawa.jp/osirase/seikatueisei/kanajin/kisya-diet/H13diet.htm</t>
  </si>
  <si>
    <t>平均摂取量</t>
  </si>
  <si>
    <t>標準偏差</t>
  </si>
  <si>
    <t>１群（米）</t>
  </si>
  <si>
    <t>２群（雑穀・芋）</t>
  </si>
  <si>
    <t>３群（砂糖・菓子）</t>
  </si>
  <si>
    <t>４群（油脂）</t>
  </si>
  <si>
    <t>５群（豆・豆加工品）</t>
  </si>
  <si>
    <t>６群（果実）</t>
  </si>
  <si>
    <t>７群（有色野菜）</t>
  </si>
  <si>
    <t>８群（野菜・海草）</t>
  </si>
  <si>
    <t>９群（嗜好品）</t>
  </si>
  <si>
    <t>１０群（魚介）</t>
  </si>
  <si>
    <t>１１群（肉・卵）</t>
  </si>
  <si>
    <t>１２群（乳・乳製品）</t>
  </si>
  <si>
    <t>１３群（加工食品）</t>
  </si>
  <si>
    <t>１４群（飲料水）</t>
  </si>
  <si>
    <t>総摂取量(pgTEQ/day)</t>
  </si>
  <si>
    <t>摂取量(pgTEQ/kg bw/day）</t>
  </si>
  <si>
    <t>一日摂取量（ｐｇ-ＴＥＱ／日）</t>
  </si>
  <si>
    <t>平均摂食量（g/日）</t>
  </si>
  <si>
    <t>平均濃度(pg-TEQ/g)</t>
  </si>
  <si>
    <t>http://www.pref.kanagawa.jp/osirase/seikatueisei/kanajin/kisya-diet/H14diet.htm</t>
  </si>
  <si>
    <t>食品群ごとのダイオキシン類一日摂取量</t>
  </si>
  <si>
    <t>SD</t>
  </si>
  <si>
    <t>平均</t>
  </si>
  <si>
    <t>濃度</t>
  </si>
  <si>
    <t>対数濃度</t>
  </si>
  <si>
    <t>ランク</t>
  </si>
  <si>
    <t>累積対数正規確率</t>
  </si>
  <si>
    <t>年齢</t>
  </si>
  <si>
    <t>生存数</t>
  </si>
  <si>
    <t>生存率</t>
  </si>
  <si>
    <t>繁殖率</t>
  </si>
  <si>
    <t>安定齢分布</t>
  </si>
  <si>
    <t>x</t>
  </si>
  <si>
    <r>
      <t>N</t>
    </r>
    <r>
      <rPr>
        <i/>
        <vertAlign val="subscript"/>
        <sz val="10.5"/>
        <rFont val="Times New Roman"/>
        <family val="1"/>
      </rPr>
      <t>x</t>
    </r>
  </si>
  <si>
    <r>
      <t>ｌ</t>
    </r>
    <r>
      <rPr>
        <i/>
        <vertAlign val="subscript"/>
        <sz val="10.5"/>
        <rFont val="Times New Roman"/>
        <family val="1"/>
      </rPr>
      <t>x</t>
    </r>
  </si>
  <si>
    <r>
      <t>m</t>
    </r>
    <r>
      <rPr>
        <i/>
        <vertAlign val="subscript"/>
        <sz val="10.5"/>
        <rFont val="Times New Roman"/>
        <family val="1"/>
      </rPr>
      <t>x</t>
    </r>
  </si>
  <si>
    <r>
      <t>ｌ</t>
    </r>
    <r>
      <rPr>
        <i/>
        <vertAlign val="subscript"/>
        <sz val="10.5"/>
        <rFont val="Times New Roman"/>
        <family val="1"/>
      </rPr>
      <t>x</t>
    </r>
    <r>
      <rPr>
        <i/>
        <sz val="10.5"/>
        <rFont val="Times New Roman"/>
        <family val="1"/>
      </rPr>
      <t xml:space="preserve"> m</t>
    </r>
    <r>
      <rPr>
        <i/>
        <vertAlign val="subscript"/>
        <sz val="10.5"/>
        <rFont val="Times New Roman"/>
        <family val="1"/>
      </rPr>
      <t>x</t>
    </r>
  </si>
  <si>
    <r>
      <t>x</t>
    </r>
    <r>
      <rPr>
        <i/>
        <sz val="10.5"/>
        <rFont val="ＭＳ Ｐゴシック"/>
        <family val="3"/>
      </rPr>
      <t>ｌ</t>
    </r>
    <r>
      <rPr>
        <i/>
        <vertAlign val="subscript"/>
        <sz val="10.5"/>
        <rFont val="Times New Roman"/>
        <family val="1"/>
      </rPr>
      <t>x</t>
    </r>
    <r>
      <rPr>
        <i/>
        <sz val="10.5"/>
        <rFont val="Times New Roman"/>
        <family val="1"/>
      </rPr>
      <t xml:space="preserve"> m</t>
    </r>
    <r>
      <rPr>
        <i/>
        <vertAlign val="subscript"/>
        <sz val="10.5"/>
        <rFont val="Times New Roman"/>
        <family val="1"/>
      </rPr>
      <t>x</t>
    </r>
  </si>
  <si>
    <r>
      <t>ｌ</t>
    </r>
    <r>
      <rPr>
        <i/>
        <vertAlign val="subscript"/>
        <sz val="10.5"/>
        <rFont val="Times New Roman"/>
        <family val="1"/>
      </rPr>
      <t>x</t>
    </r>
    <r>
      <rPr>
        <sz val="10.5"/>
        <rFont val="Times New Roman"/>
        <family val="1"/>
      </rPr>
      <t>*</t>
    </r>
  </si>
  <si>
    <r>
      <t>m</t>
    </r>
    <r>
      <rPr>
        <i/>
        <vertAlign val="subscript"/>
        <sz val="10.5"/>
        <rFont val="Times New Roman"/>
        <family val="1"/>
      </rPr>
      <t>x</t>
    </r>
    <r>
      <rPr>
        <sz val="10.5"/>
        <rFont val="Times New Roman"/>
        <family val="1"/>
      </rPr>
      <t xml:space="preserve"> </t>
    </r>
    <r>
      <rPr>
        <i/>
        <sz val="10.5"/>
        <rFont val="ＭＳ Ｐゴシック"/>
        <family val="3"/>
      </rPr>
      <t>ｌ</t>
    </r>
    <r>
      <rPr>
        <i/>
        <vertAlign val="subscript"/>
        <sz val="10.5"/>
        <rFont val="Times New Roman"/>
        <family val="1"/>
      </rPr>
      <t>x</t>
    </r>
    <r>
      <rPr>
        <sz val="10.5"/>
        <rFont val="Times New Roman"/>
        <family val="1"/>
      </rPr>
      <t>*</t>
    </r>
  </si>
  <si>
    <r>
      <t>x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>m</t>
    </r>
    <r>
      <rPr>
        <i/>
        <vertAlign val="subscript"/>
        <sz val="10.5"/>
        <rFont val="Times New Roman"/>
        <family val="1"/>
      </rPr>
      <t>x</t>
    </r>
    <r>
      <rPr>
        <sz val="10.5"/>
        <rFont val="Times New Roman"/>
        <family val="1"/>
      </rPr>
      <t xml:space="preserve"> </t>
    </r>
    <r>
      <rPr>
        <i/>
        <sz val="10.5"/>
        <rFont val="ＭＳ Ｐゴシック"/>
        <family val="3"/>
      </rPr>
      <t>ｌ</t>
    </r>
    <r>
      <rPr>
        <i/>
        <vertAlign val="subscript"/>
        <sz val="10.5"/>
        <rFont val="Times New Roman"/>
        <family val="1"/>
      </rPr>
      <t>x</t>
    </r>
    <r>
      <rPr>
        <sz val="10.5"/>
        <rFont val="Times New Roman"/>
        <family val="1"/>
      </rPr>
      <t>*</t>
    </r>
  </si>
  <si>
    <t>Qx</t>
  </si>
  <si>
    <t>sum</t>
  </si>
  <si>
    <t>R0=</t>
  </si>
  <si>
    <t>r=</t>
  </si>
  <si>
    <t>T=</t>
  </si>
  <si>
    <t>Tc</t>
  </si>
  <si>
    <t>Tiucn</t>
  </si>
  <si>
    <t>年生存率</t>
  </si>
  <si>
    <r>
      <t>p</t>
    </r>
    <r>
      <rPr>
        <i/>
        <vertAlign val="subscript"/>
        <sz val="10.5"/>
        <rFont val="Times New Roman"/>
        <family val="1"/>
      </rPr>
      <t>x</t>
    </r>
  </si>
  <si>
    <r>
      <t>濃度</t>
    </r>
    <r>
      <rPr>
        <i/>
        <sz val="11"/>
        <rFont val="ＭＳ Ｐゴシック"/>
        <family val="3"/>
      </rPr>
      <t>x</t>
    </r>
  </si>
  <si>
    <t>初期生存率</t>
  </si>
  <si>
    <t>成魚年生存率</t>
  </si>
  <si>
    <t>繁殖率</t>
  </si>
  <si>
    <t>個体数増加率</t>
  </si>
  <si>
    <t>割引率ｄ（／年）</t>
  </si>
  <si>
    <t>TBT規制による1年当たり燃料費等</t>
  </si>
  <si>
    <t>億円</t>
  </si>
  <si>
    <t>年数</t>
  </si>
  <si>
    <t>総費用</t>
  </si>
  <si>
    <t>兆円</t>
  </si>
  <si>
    <t>河口域の生態系サービス</t>
  </si>
  <si>
    <t>仮の巻貝類の貢献割合</t>
  </si>
  <si>
    <t>仮の巻貝類の生態系サービス</t>
  </si>
  <si>
    <t>影響が出始める年</t>
  </si>
  <si>
    <t>年後</t>
  </si>
  <si>
    <t>影響が及ぶ年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</si>
</sst>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_);[Red]\(0.00\)"/>
    <numFmt numFmtId="178" formatCode="0.E+00"/>
    <numFmt numFmtId="179" formatCode="#,##0.0;[Red]\-#,##0.0"/>
    <numFmt numFmtId="180" formatCode="0.0000%"/>
    <numFmt numFmtId="181" formatCode="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#,##0.000;[Red]\-#,##0.000"/>
    <numFmt numFmtId="188" formatCode="#,##0.00000;[Red]\-#,##0.00000"/>
    <numFmt numFmtId="189" formatCode="#,##0;\-#,##0;&quot;-&quot;"/>
    <numFmt numFmtId="190" formatCode="0.0000000000"/>
    <numFmt numFmtId="191" formatCode="0.0%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22"/>
      <name val="ＭＳ Ｐゴシック"/>
      <family val="3"/>
    </font>
    <font>
      <sz val="12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60"/>
      <name val="ＭＳ Ｐゴシック"/>
      <family val="3"/>
    </font>
    <font>
      <sz val="10.5"/>
      <color indexed="52"/>
      <name val="ＭＳ Ｐゴシック"/>
      <family val="3"/>
    </font>
    <font>
      <sz val="10.5"/>
      <color indexed="20"/>
      <name val="ＭＳ Ｐゴシック"/>
      <family val="3"/>
    </font>
    <font>
      <b/>
      <sz val="10.5"/>
      <color indexed="52"/>
      <name val="ＭＳ Ｐゴシック"/>
      <family val="3"/>
    </font>
    <font>
      <sz val="10.5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i/>
      <sz val="10.5"/>
      <color indexed="23"/>
      <name val="ＭＳ Ｐゴシック"/>
      <family val="3"/>
    </font>
    <font>
      <sz val="10.5"/>
      <color indexed="62"/>
      <name val="ＭＳ Ｐゴシック"/>
      <family val="3"/>
    </font>
    <font>
      <sz val="10.5"/>
      <color indexed="17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color indexed="12"/>
      <name val="ＭＳ Ｐゴシック"/>
      <family val="3"/>
    </font>
    <font>
      <sz val="10.75"/>
      <color indexed="8"/>
      <name val="ＭＳ Ｐゴシック"/>
      <family val="3"/>
    </font>
    <font>
      <sz val="10.5"/>
      <name val="Century"/>
      <family val="1"/>
    </font>
    <font>
      <sz val="9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vertAlign val="subscript"/>
      <sz val="10.5"/>
      <name val="Times New Roman"/>
      <family val="1"/>
    </font>
    <font>
      <i/>
      <sz val="10.5"/>
      <name val="ＭＳ Ｐゴシック"/>
      <family val="3"/>
    </font>
    <font>
      <sz val="11"/>
      <name val="Times New Roman"/>
      <family val="1"/>
    </font>
    <font>
      <i/>
      <sz val="11"/>
      <name val="ＭＳ Ｐゴシック"/>
      <family val="3"/>
    </font>
    <font>
      <sz val="14.25"/>
      <name val="ＭＳ Ｐゴシック"/>
      <family val="3"/>
    </font>
    <font>
      <sz val="10"/>
      <color indexed="8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1"/>
      <name val="ＭＳ Ｐ明朝"/>
      <family val="1"/>
    </font>
    <font>
      <sz val="12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9" fontId="47" fillId="0" borderId="0" applyFill="0" applyBorder="0" applyAlignment="0">
      <protection/>
    </xf>
    <xf numFmtId="0" fontId="48" fillId="0" borderId="0">
      <alignment/>
      <protection/>
    </xf>
    <xf numFmtId="38" fontId="49" fillId="16" borderId="0" applyNumberFormat="0" applyBorder="0" applyAlignment="0" applyProtection="0"/>
    <xf numFmtId="0" fontId="50" fillId="0" borderId="0">
      <alignment horizontal="left"/>
      <protection/>
    </xf>
    <xf numFmtId="0" fontId="51" fillId="0" borderId="1" applyNumberFormat="0" applyAlignment="0" applyProtection="0"/>
    <xf numFmtId="0" fontId="51" fillId="0" borderId="2">
      <alignment horizontal="left" vertical="center"/>
      <protection/>
    </xf>
    <xf numFmtId="10" fontId="49" fillId="16" borderId="3" applyNumberFormat="0" applyBorder="0" applyAlignment="0" applyProtection="0"/>
    <xf numFmtId="0" fontId="52" fillId="0" borderId="4">
      <alignment/>
      <protection/>
    </xf>
    <xf numFmtId="190" fontId="0" fillId="0" borderId="0">
      <alignment/>
      <protection/>
    </xf>
    <xf numFmtId="0" fontId="53" fillId="0" borderId="0">
      <alignment/>
      <protection/>
    </xf>
    <xf numFmtId="10" fontId="53" fillId="0" borderId="0" applyFont="0" applyFill="0" applyBorder="0" applyAlignment="0" applyProtection="0"/>
    <xf numFmtId="0" fontId="52" fillId="0" borderId="0">
      <alignment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1" borderId="5" applyNumberFormat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3" borderId="0" applyNumberFormat="0" applyBorder="0" applyAlignment="0" applyProtection="0"/>
    <xf numFmtId="0" fontId="14" fillId="24" borderId="8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24" borderId="13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8" applyNumberFormat="0" applyAlignment="0" applyProtection="0"/>
    <xf numFmtId="0" fontId="0" fillId="0" borderId="0">
      <alignment vertical="center"/>
      <protection/>
    </xf>
    <xf numFmtId="0" fontId="55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5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0" borderId="0">
      <alignment/>
      <protection/>
    </xf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25" borderId="0" xfId="0" applyFill="1" applyAlignment="1">
      <alignment vertical="center"/>
    </xf>
    <xf numFmtId="176" fontId="0" fillId="25" borderId="0" xfId="0" applyNumberFormat="1" applyFill="1" applyAlignment="1">
      <alignment vertical="center"/>
    </xf>
    <xf numFmtId="2" fontId="0" fillId="25" borderId="0" xfId="0" applyNumberFormat="1" applyFill="1" applyAlignment="1">
      <alignment vertical="center"/>
    </xf>
    <xf numFmtId="2" fontId="4" fillId="25" borderId="0" xfId="0" applyNumberFormat="1" applyFont="1" applyFill="1" applyAlignment="1">
      <alignment vertical="center"/>
    </xf>
    <xf numFmtId="177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25" borderId="0" xfId="0" applyNumberFormat="1" applyFill="1" applyAlignment="1">
      <alignment vertical="center"/>
    </xf>
    <xf numFmtId="0" fontId="0" fillId="0" borderId="0" xfId="88">
      <alignment/>
      <protection/>
    </xf>
    <xf numFmtId="0" fontId="24" fillId="0" borderId="0" xfId="88" applyFont="1" applyAlignment="1">
      <alignment horizontal="right"/>
      <protection/>
    </xf>
    <xf numFmtId="0" fontId="25" fillId="0" borderId="0" xfId="88" applyFont="1" applyAlignment="1">
      <alignment horizontal="right"/>
      <protection/>
    </xf>
    <xf numFmtId="0" fontId="24" fillId="0" borderId="0" xfId="88" applyFont="1">
      <alignment/>
      <protection/>
    </xf>
    <xf numFmtId="0" fontId="26" fillId="0" borderId="0" xfId="88" applyFont="1" applyAlignment="1">
      <alignment horizontal="right"/>
      <protection/>
    </xf>
    <xf numFmtId="0" fontId="0" fillId="0" borderId="0" xfId="89">
      <alignment/>
      <protection/>
    </xf>
    <xf numFmtId="0" fontId="0" fillId="0" borderId="0" xfId="89" applyFont="1">
      <alignment/>
      <protection/>
    </xf>
    <xf numFmtId="0" fontId="28" fillId="0" borderId="0" xfId="89" applyFont="1">
      <alignment/>
      <protection/>
    </xf>
    <xf numFmtId="0" fontId="31" fillId="0" borderId="0" xfId="89" applyFont="1">
      <alignment/>
      <protection/>
    </xf>
    <xf numFmtId="0" fontId="28" fillId="25" borderId="0" xfId="89" applyFont="1" applyFill="1">
      <alignment/>
      <protection/>
    </xf>
    <xf numFmtId="0" fontId="31" fillId="25" borderId="0" xfId="89" applyFont="1" applyFill="1">
      <alignment/>
      <protection/>
    </xf>
    <xf numFmtId="181" fontId="0" fillId="25" borderId="0" xfId="89" applyNumberFormat="1" applyFill="1">
      <alignment/>
      <protection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1" fontId="0" fillId="0" borderId="14" xfId="62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38" fontId="0" fillId="0" borderId="0" xfId="62" applyAlignment="1">
      <alignment vertical="center"/>
    </xf>
    <xf numFmtId="0" fontId="0" fillId="0" borderId="0" xfId="78">
      <alignment vertical="center"/>
      <protection/>
    </xf>
    <xf numFmtId="0" fontId="28" fillId="0" borderId="0" xfId="78" applyFont="1">
      <alignment vertical="center"/>
      <protection/>
    </xf>
    <xf numFmtId="40" fontId="35" fillId="0" borderId="0" xfId="64" applyNumberFormat="1" applyFont="1" applyAlignment="1">
      <alignment vertical="center"/>
    </xf>
    <xf numFmtId="179" fontId="35" fillId="0" borderId="0" xfId="64" applyNumberFormat="1" applyFont="1" applyAlignment="1">
      <alignment vertical="center"/>
    </xf>
    <xf numFmtId="0" fontId="28" fillId="0" borderId="0" xfId="78" applyFont="1">
      <alignment vertical="center"/>
      <protection/>
    </xf>
    <xf numFmtId="0" fontId="39" fillId="0" borderId="0" xfId="90" applyFont="1" applyAlignment="1">
      <alignment horizontal="center"/>
      <protection/>
    </xf>
    <xf numFmtId="0" fontId="40" fillId="0" borderId="0" xfId="90" applyFont="1" applyAlignment="1">
      <alignment horizontal="center"/>
      <protection/>
    </xf>
    <xf numFmtId="0" fontId="0" fillId="0" borderId="0" xfId="90">
      <alignment/>
      <protection/>
    </xf>
    <xf numFmtId="0" fontId="41" fillId="0" borderId="0" xfId="90" applyFont="1" applyAlignment="1">
      <alignment horizontal="center"/>
      <protection/>
    </xf>
    <xf numFmtId="0" fontId="43" fillId="0" borderId="0" xfId="90" applyFont="1" applyAlignment="1">
      <alignment horizontal="center"/>
      <protection/>
    </xf>
    <xf numFmtId="0" fontId="44" fillId="0" borderId="0" xfId="90" applyFont="1">
      <alignment/>
      <protection/>
    </xf>
    <xf numFmtId="38" fontId="44" fillId="0" borderId="0" xfId="62" applyFont="1" applyAlignment="1">
      <alignment/>
    </xf>
    <xf numFmtId="180" fontId="44" fillId="0" borderId="0" xfId="54" applyNumberFormat="1" applyFont="1" applyAlignment="1">
      <alignment/>
    </xf>
    <xf numFmtId="38" fontId="44" fillId="0" borderId="0" xfId="90" applyNumberFormat="1" applyFont="1">
      <alignment/>
      <protection/>
    </xf>
    <xf numFmtId="9" fontId="44" fillId="0" borderId="0" xfId="54" applyFont="1" applyAlignment="1">
      <alignment/>
    </xf>
    <xf numFmtId="40" fontId="44" fillId="0" borderId="0" xfId="62" applyNumberFormat="1" applyFont="1" applyAlignment="1">
      <alignment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7" fillId="0" borderId="0" xfId="87" applyAlignment="1">
      <alignment horizontal="right" vertical="center"/>
      <protection/>
    </xf>
    <xf numFmtId="0" fontId="7" fillId="0" borderId="0" xfId="87">
      <alignment vertical="center"/>
      <protection/>
    </xf>
    <xf numFmtId="179" fontId="7" fillId="0" borderId="0" xfId="62" applyNumberFormat="1" applyAlignment="1">
      <alignment vertical="center"/>
    </xf>
    <xf numFmtId="10" fontId="7" fillId="0" borderId="0" xfId="54" applyNumberFormat="1" applyAlignment="1">
      <alignment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ategory" xfId="34"/>
    <cellStyle name="Grey" xfId="35"/>
    <cellStyle name="HEADER" xfId="36"/>
    <cellStyle name="Header1" xfId="37"/>
    <cellStyle name="Header2" xfId="38"/>
    <cellStyle name="Input [yellow]" xfId="39"/>
    <cellStyle name="Model" xfId="40"/>
    <cellStyle name="Normal - Style1" xfId="41"/>
    <cellStyle name="Normal_#18-Internet" xfId="42"/>
    <cellStyle name="Percent [2]" xfId="43"/>
    <cellStyle name="subhead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桁区切り 2" xfId="64"/>
    <cellStyle name="桁区切り 2 2" xfId="65"/>
    <cellStyle name="桁区切り 3" xfId="66"/>
    <cellStyle name="桁区切り 4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標準 2 2" xfId="79"/>
    <cellStyle name="標準 2 3" xfId="80"/>
    <cellStyle name="標準 2 4" xfId="81"/>
    <cellStyle name="標準 2_08NTT4章" xfId="82"/>
    <cellStyle name="標準 3" xfId="83"/>
    <cellStyle name="標準 4" xfId="84"/>
    <cellStyle name="標準 5" xfId="85"/>
    <cellStyle name="標準 6" xfId="86"/>
    <cellStyle name="標準_08NTT4章" xfId="87"/>
    <cellStyle name="標準_08共立3" xfId="88"/>
    <cellStyle name="標準_環境図全" xfId="89"/>
    <cellStyle name="標準_共立2" xfId="90"/>
    <cellStyle name="Followed Hyperlink" xfId="91"/>
    <cellStyle name="未定義" xfId="92"/>
    <cellStyle name="良い" xfId="93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525"/>
          <c:w val="0.94775"/>
          <c:h val="0.90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'水銀'!$G$2</c:f>
              <c:strCache>
                <c:ptCount val="1"/>
                <c:pt idx="0">
                  <c:v>成人のリスク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'水銀'!$E$3:$E$16</c:f>
              <c:numCache/>
            </c:numRef>
          </c:xVal>
          <c:yVal>
            <c:numRef>
              <c:f>'水銀'!$G$3:$G$16</c:f>
              <c:numCache/>
            </c:numRef>
          </c:yVal>
          <c:smooth val="1"/>
        </c:ser>
        <c:ser>
          <c:idx val="2"/>
          <c:order val="1"/>
          <c:tx>
            <c:strRef>
              <c:f>'水銀'!$H$2</c:f>
              <c:strCache>
                <c:ptCount val="1"/>
                <c:pt idx="0">
                  <c:v>胎児のリスク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'水銀'!$E$3:$E$16</c:f>
              <c:numCache/>
            </c:numRef>
          </c:xVal>
          <c:yVal>
            <c:numRef>
              <c:f>'水銀'!$H$3:$H$16</c:f>
              <c:numCache/>
            </c:numRef>
          </c:yVal>
          <c:smooth val="1"/>
        </c:ser>
        <c:axId val="16918669"/>
        <c:axId val="18050294"/>
      </c:scatterChart>
      <c:valAx>
        <c:axId val="169186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水銀摂取量（μg/日）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crossAx val="18050294"/>
        <c:crossesAt val="1E-06"/>
        <c:crossBetween val="midCat"/>
        <c:dispUnits/>
        <c:majorUnit val="10"/>
      </c:valAx>
      <c:valAx>
        <c:axId val="18050294"/>
        <c:scaling>
          <c:logBase val="10"/>
          <c:orientation val="minMax"/>
          <c:min val="1E-0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発症率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6918669"/>
        <c:crosses val="autoZero"/>
        <c:crossBetween val="midCat"/>
        <c:dispUnits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54425"/>
          <c:w val="0.27625"/>
          <c:h val="0.16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975"/>
          <c:w val="0.937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'濃度全'!$A$3:$A$18</c:f>
              <c:strCache>
                <c:ptCount val="16"/>
                <c:pt idx="0">
                  <c:v>アサリ</c:v>
                </c:pt>
                <c:pt idx="1">
                  <c:v>ホタテ</c:v>
                </c:pt>
                <c:pt idx="2">
                  <c:v>サワラ</c:v>
                </c:pt>
                <c:pt idx="3">
                  <c:v>アユ</c:v>
                </c:pt>
                <c:pt idx="4">
                  <c:v>サンマ</c:v>
                </c:pt>
                <c:pt idx="5">
                  <c:v>ヒラメ</c:v>
                </c:pt>
                <c:pt idx="6">
                  <c:v>スルメイカ</c:v>
                </c:pt>
                <c:pt idx="7">
                  <c:v>ニジマス</c:v>
                </c:pt>
                <c:pt idx="8">
                  <c:v>マダイ</c:v>
                </c:pt>
                <c:pt idx="9">
                  <c:v>マサバ</c:v>
                </c:pt>
                <c:pt idx="10">
                  <c:v>ブリ</c:v>
                </c:pt>
                <c:pt idx="11">
                  <c:v>ミンククジラ</c:v>
                </c:pt>
                <c:pt idx="12">
                  <c:v>ギンダラ</c:v>
                </c:pt>
                <c:pt idx="13">
                  <c:v>ウナギ（蒲焼）</c:v>
                </c:pt>
                <c:pt idx="14">
                  <c:v>キンメダイ</c:v>
                </c:pt>
                <c:pt idx="15">
                  <c:v>クロマグロ</c:v>
                </c:pt>
              </c:strCache>
            </c:strRef>
          </c:cat>
          <c:val>
            <c:numRef>
              <c:f>'濃度全'!$E$3:$E$18</c:f>
              <c:numCache>
                <c:ptCount val="16"/>
                <c:pt idx="0">
                  <c:v>0.009</c:v>
                </c:pt>
                <c:pt idx="1">
                  <c:v>0.01</c:v>
                </c:pt>
                <c:pt idx="2">
                  <c:v>0.035</c:v>
                </c:pt>
                <c:pt idx="3">
                  <c:v>0.058</c:v>
                </c:pt>
                <c:pt idx="4">
                  <c:v>0.058</c:v>
                </c:pt>
                <c:pt idx="5">
                  <c:v>0.058</c:v>
                </c:pt>
                <c:pt idx="6">
                  <c:v>0.058</c:v>
                </c:pt>
                <c:pt idx="7">
                  <c:v>0.07</c:v>
                </c:pt>
                <c:pt idx="8">
                  <c:v>0.116</c:v>
                </c:pt>
                <c:pt idx="9">
                  <c:v>0.139</c:v>
                </c:pt>
                <c:pt idx="10">
                  <c:v>0.153</c:v>
                </c:pt>
                <c:pt idx="11">
                  <c:v>0.155</c:v>
                </c:pt>
                <c:pt idx="12">
                  <c:v>0.216</c:v>
                </c:pt>
                <c:pt idx="13">
                  <c:v>0.264</c:v>
                </c:pt>
                <c:pt idx="14">
                  <c:v>0.684</c:v>
                </c:pt>
                <c:pt idx="15">
                  <c:v>0.723</c:v>
                </c:pt>
              </c:numCache>
            </c:numRef>
          </c:val>
        </c:ser>
        <c:gapWidth val="50"/>
        <c:axId val="28234919"/>
        <c:axId val="52787680"/>
      </c:barChart>
      <c:catAx>
        <c:axId val="282349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787680"/>
        <c:crossesAt val="0.001"/>
        <c:auto val="1"/>
        <c:lblOffset val="100"/>
        <c:tickLblSkip val="1"/>
        <c:noMultiLvlLbl val="0"/>
      </c:catAx>
      <c:valAx>
        <c:axId val="5278768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水銀濃度（μｇ/ｇ）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234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Sheet1!$A$20:$A$33</c:f>
              <c:strCache>
                <c:ptCount val="14"/>
                <c:pt idx="0">
                  <c:v>１群（米）</c:v>
                </c:pt>
                <c:pt idx="1">
                  <c:v>２群（雑穀・芋）</c:v>
                </c:pt>
                <c:pt idx="2">
                  <c:v>３群（砂糖・菓子）</c:v>
                </c:pt>
                <c:pt idx="3">
                  <c:v>４群（油脂）</c:v>
                </c:pt>
                <c:pt idx="4">
                  <c:v>５群（豆・豆加工品）</c:v>
                </c:pt>
                <c:pt idx="5">
                  <c:v>６群（果実）</c:v>
                </c:pt>
                <c:pt idx="6">
                  <c:v>７群（有色野菜）</c:v>
                </c:pt>
                <c:pt idx="7">
                  <c:v>８群（野菜・海草）</c:v>
                </c:pt>
                <c:pt idx="8">
                  <c:v>９群（嗜好品）</c:v>
                </c:pt>
                <c:pt idx="9">
                  <c:v>１０群（魚介）</c:v>
                </c:pt>
                <c:pt idx="10">
                  <c:v>１１群（肉・卵）</c:v>
                </c:pt>
                <c:pt idx="11">
                  <c:v>１２群（乳・乳製品）</c:v>
                </c:pt>
                <c:pt idx="12">
                  <c:v>１３群（加工食品）</c:v>
                </c:pt>
                <c:pt idx="13">
                  <c:v>１４群（飲料水）</c:v>
                </c:pt>
              </c:strCache>
            </c:strRef>
          </c:cat>
          <c:val>
            <c:numRef>
              <c:f>Sheet1!$B$20:$B$33</c:f>
              <c:numCache>
                <c:ptCount val="14"/>
                <c:pt idx="0">
                  <c:v>0</c:v>
                </c:pt>
                <c:pt idx="1">
                  <c:v>0.01</c:v>
                </c:pt>
                <c:pt idx="2">
                  <c:v>0.06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0.07</c:v>
                </c:pt>
                <c:pt idx="7">
                  <c:v>0.02</c:v>
                </c:pt>
                <c:pt idx="8">
                  <c:v>0</c:v>
                </c:pt>
                <c:pt idx="9">
                  <c:v>17.23</c:v>
                </c:pt>
                <c:pt idx="10">
                  <c:v>3.48</c:v>
                </c:pt>
                <c:pt idx="11">
                  <c:v>0.96</c:v>
                </c:pt>
                <c:pt idx="12">
                  <c:v>0.08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2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Sheet1!$A$39:$A$52</c:f>
              <c:strCache>
                <c:ptCount val="14"/>
                <c:pt idx="0">
                  <c:v>１群（米）</c:v>
                </c:pt>
                <c:pt idx="1">
                  <c:v>２群（雑穀・芋）</c:v>
                </c:pt>
                <c:pt idx="2">
                  <c:v>３群（砂糖・菓子）</c:v>
                </c:pt>
                <c:pt idx="3">
                  <c:v>４群（油脂）</c:v>
                </c:pt>
                <c:pt idx="4">
                  <c:v>５群（豆・豆加工品）</c:v>
                </c:pt>
                <c:pt idx="5">
                  <c:v>６群（果実）</c:v>
                </c:pt>
                <c:pt idx="6">
                  <c:v>７群（有色野菜）</c:v>
                </c:pt>
                <c:pt idx="7">
                  <c:v>８群（野菜・海草）</c:v>
                </c:pt>
                <c:pt idx="8">
                  <c:v>９群（嗜好品）</c:v>
                </c:pt>
                <c:pt idx="9">
                  <c:v>１０群（魚介）</c:v>
                </c:pt>
                <c:pt idx="10">
                  <c:v>１１群（肉・卵）</c:v>
                </c:pt>
                <c:pt idx="11">
                  <c:v>１２群（乳・乳製品）</c:v>
                </c:pt>
                <c:pt idx="12">
                  <c:v>１３群（加工食品）</c:v>
                </c:pt>
                <c:pt idx="13">
                  <c:v>１４群（飲料水）</c:v>
                </c:pt>
              </c:strCache>
            </c:strRef>
          </c:cat>
          <c:val>
            <c:numRef>
              <c:f>Sheet1!$B$39:$B$52</c:f>
              <c:numCache>
                <c:ptCount val="14"/>
                <c:pt idx="0">
                  <c:v>149</c:v>
                </c:pt>
                <c:pt idx="1">
                  <c:v>166.2</c:v>
                </c:pt>
                <c:pt idx="2">
                  <c:v>34.8</c:v>
                </c:pt>
                <c:pt idx="3">
                  <c:v>18.9</c:v>
                </c:pt>
                <c:pt idx="4">
                  <c:v>62.8</c:v>
                </c:pt>
                <c:pt idx="5">
                  <c:v>113.8</c:v>
                </c:pt>
                <c:pt idx="6">
                  <c:v>98.8</c:v>
                </c:pt>
                <c:pt idx="7">
                  <c:v>194.8</c:v>
                </c:pt>
                <c:pt idx="8">
                  <c:v>185.5</c:v>
                </c:pt>
                <c:pt idx="9">
                  <c:v>87.2</c:v>
                </c:pt>
                <c:pt idx="10">
                  <c:v>126.8</c:v>
                </c:pt>
                <c:pt idx="11">
                  <c:v>148.1</c:v>
                </c:pt>
                <c:pt idx="12">
                  <c:v>6.9</c:v>
                </c:pt>
                <c:pt idx="13">
                  <c:v>600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Sheet1!$D$39:$D$52</c:f>
              <c:numCache>
                <c:ptCount val="14"/>
                <c:pt idx="0">
                  <c:v>0</c:v>
                </c:pt>
                <c:pt idx="1">
                  <c:v>0.05</c:v>
                </c:pt>
                <c:pt idx="2">
                  <c:v>0.12</c:v>
                </c:pt>
                <c:pt idx="3">
                  <c:v>0.07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51.91</c:v>
                </c:pt>
                <c:pt idx="10">
                  <c:v>7.09</c:v>
                </c:pt>
                <c:pt idx="11">
                  <c:v>3.27</c:v>
                </c:pt>
                <c:pt idx="12">
                  <c:v>0.16</c:v>
                </c:pt>
                <c:pt idx="13">
                  <c:v>0.01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475"/>
          <c:w val="0.882"/>
          <c:h val="0.8452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'用量反応'!$A$5:$A$30</c:f>
              <c:numCache/>
            </c:numRef>
          </c:xVal>
          <c:yVal>
            <c:numRef>
              <c:f>'用量反応'!$F$5:$F$30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'用量反応'!$A$5:$A$30</c:f>
              <c:numCache/>
            </c:numRef>
          </c:xVal>
          <c:yVal>
            <c:numRef>
              <c:f>'用量反応'!$E$5:$E$30</c:f>
              <c:numCache/>
            </c:numRef>
          </c:yVal>
          <c:smooth val="1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'用量反応'!$A$5:$A$30</c:f>
              <c:numCache/>
            </c:numRef>
          </c:xVal>
          <c:yVal>
            <c:numRef>
              <c:f>'用量反応'!$C$5:$C$9</c:f>
              <c:numCache/>
            </c:numRef>
          </c:yVal>
          <c:smooth val="1"/>
        </c:ser>
        <c:axId val="5327073"/>
        <c:axId val="47943658"/>
      </c:scatterChart>
      <c:valAx>
        <c:axId val="5327073"/>
        <c:scaling>
          <c:orientation val="minMax"/>
          <c:max val="-1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曝露量（対数）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43658"/>
        <c:crossesAt val="-6"/>
        <c:crossBetween val="midCat"/>
        <c:dispUnits/>
      </c:valAx>
      <c:valAx>
        <c:axId val="47943658"/>
        <c:scaling>
          <c:orientation val="minMax"/>
          <c:min val="-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発ガン率（対数）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73"/>
        <c:crossesAt val="-6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5"/>
          <c:w val="0.90825"/>
          <c:h val="0.850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'HC5'!$B$4:$B$23</c:f>
              <c:numCache/>
            </c:numRef>
          </c:xVal>
          <c:yVal>
            <c:numRef>
              <c:f>'HC5'!$E$4:$E$23</c:f>
              <c:numCache/>
            </c:numRef>
          </c:yVal>
          <c:smooth val="1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'HC5'!$B$7:$B$18</c:f>
              <c:numCache/>
            </c:numRef>
          </c:xVal>
          <c:yVal>
            <c:numRef>
              <c:f>'HC5'!$D$7:$D$18</c:f>
              <c:numCache/>
            </c:numRef>
          </c:yVal>
          <c:smooth val="0"/>
        </c:ser>
        <c:ser>
          <c:idx val="0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'HC5'!$F$1:$F$2</c:f>
              <c:numCache/>
            </c:numRef>
          </c:xVal>
          <c:yVal>
            <c:numRef>
              <c:f>'HC5'!$G$1:$G$2</c:f>
              <c:numCache/>
            </c:numRef>
          </c:yVal>
          <c:smooth val="0"/>
        </c:ser>
        <c:axId val="28839739"/>
        <c:axId val="58231060"/>
      </c:scatterChart>
      <c:valAx>
        <c:axId val="28839739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無影響濃度（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8231060"/>
        <c:crosses val="autoZero"/>
        <c:crossBetween val="midCat"/>
        <c:dispUnits/>
      </c:valAx>
      <c:valAx>
        <c:axId val="58231060"/>
        <c:scaling>
          <c:orientation val="minMax"/>
          <c:max val="1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累積頻度分布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97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395"/>
          <c:w val="0.83425"/>
          <c:h val="0.868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'2生命表b'!$A$3:$A$12</c:f>
              <c:numCache/>
            </c:numRef>
          </c:xVal>
          <c:yVal>
            <c:numRef>
              <c:f>'2生命表b'!$C$3:$C$12</c:f>
              <c:numCache/>
            </c:numRef>
          </c:yVal>
          <c:smooth val="1"/>
        </c:ser>
        <c:axId val="54317493"/>
        <c:axId val="19095390"/>
      </c:scatterChart>
      <c:scatterChart>
        <c:scatterStyle val="lineMarker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'2生命表b'!$A$3:$A$11</c:f>
              <c:numCache/>
            </c:numRef>
          </c:xVal>
          <c:yVal>
            <c:numRef>
              <c:f>'2生命表b'!$O$3:$O$11</c:f>
              <c:numCache/>
            </c:numRef>
          </c:yVal>
          <c:smooth val="0"/>
        </c:ser>
        <c:ser>
          <c:idx val="1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'2生命表b'!$A$3:$A$12</c:f>
              <c:numCache/>
            </c:numRef>
          </c:xVal>
          <c:yVal>
            <c:numRef>
              <c:f>'2生命表b'!$K$3:$K$12</c:f>
              <c:numCache/>
            </c:numRef>
          </c:yVal>
          <c:smooth val="0"/>
        </c:ser>
        <c:axId val="37640783"/>
        <c:axId val="3222728"/>
      </c:scatterChart>
      <c:valAx>
        <c:axId val="54317493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95390"/>
        <c:crossesAt val="1E-06"/>
        <c:crossBetween val="midCat"/>
        <c:dispUnits/>
        <c:majorUnit val="1"/>
      </c:valAx>
      <c:valAx>
        <c:axId val="19095390"/>
        <c:scaling>
          <c:logBase val="10"/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生存率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17493"/>
        <c:crosses val="autoZero"/>
        <c:crossBetween val="midCat"/>
        <c:dispUnits/>
      </c:valAx>
      <c:valAx>
        <c:axId val="37640783"/>
        <c:scaling>
          <c:orientation val="minMax"/>
        </c:scaling>
        <c:axPos val="b"/>
        <c:delete val="1"/>
        <c:majorTickMark val="in"/>
        <c:minorTickMark val="none"/>
        <c:tickLblPos val="nextTo"/>
        <c:crossAx val="3222728"/>
        <c:crosses val="max"/>
        <c:crossBetween val="midCat"/>
        <c:dispUnits/>
      </c:valAx>
      <c:valAx>
        <c:axId val="3222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6407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515"/>
          <c:h val="0.90075"/>
        </c:manualLayout>
      </c:layout>
      <c:scatterChart>
        <c:scatterStyle val="smooth"/>
        <c:varyColors val="0"/>
        <c:ser>
          <c:idx val="0"/>
          <c:order val="0"/>
          <c:tx>
            <c:strRef>
              <c:f>'個体群リスク'!$B$3</c:f>
              <c:strCache>
                <c:ptCount val="1"/>
                <c:pt idx="0">
                  <c:v>個体数増加率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8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ymbol val="triangle"/>
              <c:size val="7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'個体群リスク'!$A$4:$A$41</c:f>
              <c:numCache/>
            </c:numRef>
          </c:xVal>
          <c:yVal>
            <c:numRef>
              <c:f>'個体群リスク'!$B$4:$B$41</c:f>
              <c:numCache/>
            </c:numRef>
          </c:yVal>
          <c:smooth val="1"/>
        </c:ser>
        <c:ser>
          <c:idx val="1"/>
          <c:order val="1"/>
          <c:tx>
            <c:strRef>
              <c:f>'個体群リスク'!$C$3</c:f>
              <c:strCache>
                <c:ptCount val="1"/>
                <c:pt idx="0">
                  <c:v>初期生存率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'個体群リスク'!$A$4:$A$41</c:f>
              <c:numCache/>
            </c:numRef>
          </c:xVal>
          <c:yVal>
            <c:numRef>
              <c:f>'個体群リスク'!$F$4:$F$41</c:f>
              <c:numCache/>
            </c:numRef>
          </c:yVal>
          <c:smooth val="1"/>
        </c:ser>
        <c:ser>
          <c:idx val="3"/>
          <c:order val="2"/>
          <c:tx>
            <c:strRef>
              <c:f>'個体群リスク'!$E$3</c:f>
              <c:strCache>
                <c:ptCount val="1"/>
                <c:pt idx="0">
                  <c:v>繁殖率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'個体群リスク'!$A$4:$A$41</c:f>
              <c:numCache/>
            </c:numRef>
          </c:xVal>
          <c:yVal>
            <c:numRef>
              <c:f>'個体群リスク'!$H$4:$H$41</c:f>
              <c:numCache/>
            </c:numRef>
          </c:yVal>
          <c:smooth val="1"/>
        </c:ser>
        <c:axId val="29004553"/>
        <c:axId val="59714386"/>
      </c:scatterChart>
      <c:valAx>
        <c:axId val="2900455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化学物質濃度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14386"/>
        <c:crossesAt val="-0.4"/>
        <c:crossBetween val="midCat"/>
        <c:dispUnits/>
      </c:valAx>
      <c:valAx>
        <c:axId val="59714386"/>
        <c:scaling>
          <c:orientation val="minMax"/>
          <c:min val="-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004553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"/>
          <c:y val="0.5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10</xdr:row>
      <xdr:rowOff>0</xdr:rowOff>
    </xdr:from>
    <xdr:to>
      <xdr:col>7</xdr:col>
      <xdr:colOff>47625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333500" y="1714500"/>
        <a:ext cx="46386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9525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2657475" y="600075"/>
        <a:ext cx="34385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19</xdr:row>
      <xdr:rowOff>152400</xdr:rowOff>
    </xdr:from>
    <xdr:to>
      <xdr:col>11</xdr:col>
      <xdr:colOff>609600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4962525" y="4133850"/>
        <a:ext cx="4629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657225</xdr:colOff>
      <xdr:row>34</xdr:row>
      <xdr:rowOff>104775</xdr:rowOff>
    </xdr:from>
    <xdr:to>
      <xdr:col>10</xdr:col>
      <xdr:colOff>485775</xdr:colOff>
      <xdr:row>47</xdr:row>
      <xdr:rowOff>190500</xdr:rowOff>
    </xdr:to>
    <xdr:graphicFrame>
      <xdr:nvGraphicFramePr>
        <xdr:cNvPr id="2" name="Chart 2"/>
        <xdr:cNvGraphicFramePr/>
      </xdr:nvGraphicFramePr>
      <xdr:xfrm>
        <a:off x="4152900" y="7229475"/>
        <a:ext cx="46291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38100</xdr:rowOff>
    </xdr:from>
    <xdr:to>
      <xdr:col>10</xdr:col>
      <xdr:colOff>552450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3629025" y="1924050"/>
        <a:ext cx="37338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11</xdr:row>
      <xdr:rowOff>19050</xdr:rowOff>
    </xdr:from>
    <xdr:to>
      <xdr:col>10</xdr:col>
      <xdr:colOff>161925</xdr:colOff>
      <xdr:row>27</xdr:row>
      <xdr:rowOff>19050</xdr:rowOff>
    </xdr:to>
    <xdr:graphicFrame>
      <xdr:nvGraphicFramePr>
        <xdr:cNvPr id="1" name="グラフ 2"/>
        <xdr:cNvGraphicFramePr/>
      </xdr:nvGraphicFramePr>
      <xdr:xfrm>
        <a:off x="2447925" y="1905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11</xdr:row>
      <xdr:rowOff>133350</xdr:rowOff>
    </xdr:from>
    <xdr:to>
      <xdr:col>15</xdr:col>
      <xdr:colOff>323850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24275" y="2219325"/>
        <a:ext cx="40100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123825</xdr:rowOff>
    </xdr:from>
    <xdr:to>
      <xdr:col>8</xdr:col>
      <xdr:colOff>428625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857250" y="295275"/>
        <a:ext cx="55245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1019175</xdr:colOff>
      <xdr:row>9</xdr:row>
      <xdr:rowOff>19050</xdr:rowOff>
    </xdr:from>
    <xdr:to>
      <xdr:col>6</xdr:col>
      <xdr:colOff>457200</xdr:colOff>
      <xdr:row>12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1562100"/>
          <a:ext cx="32766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tsudaHiro\My%20Documents\kako2002\m2000\&#29872;&#22659;&#29983;&#24907;\&#29872;&#22659;&#22259;&#208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kek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dee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\My%20Documents\hiroyuki\kako\m2000\&#29872;&#22659;&#29983;&#24907;\&#29872;&#22659;&#22259;&#2084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.YOUR-E93BC03103\My%20Documents\kako2004\m2004\&#20849;&#31435;&#29983;&#24907;&#23398;\&#20849;&#31435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8NTT4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-1"/>
      <sheetName val="d1-1"/>
      <sheetName val="f2-5"/>
      <sheetName val="f2-6"/>
      <sheetName val="d2-5"/>
      <sheetName val="f3-2"/>
      <sheetName val="d3-2"/>
      <sheetName val="ｆ3-4"/>
      <sheetName val="d3-4"/>
      <sheetName val="d3ｰ5"/>
      <sheetName val="d4-1"/>
      <sheetName val="d4ｰ2"/>
      <sheetName val="f4-2"/>
      <sheetName val="ｄ4-4"/>
      <sheetName val="f4-4"/>
      <sheetName val="f5-1"/>
      <sheetName val="d5-1"/>
      <sheetName val="f5-2"/>
      <sheetName val="d5-2"/>
      <sheetName val="f5-3"/>
      <sheetName val="d5-3"/>
      <sheetName val="f6-6"/>
      <sheetName val="d6-6"/>
      <sheetName val="d7-2"/>
      <sheetName val="ｆ11-1"/>
      <sheetName val="d11-1"/>
      <sheetName val="f11ｰ2"/>
      <sheetName val="d11-2"/>
      <sheetName val="d12-1"/>
      <sheetName val="f12-2"/>
      <sheetName val="d12-2"/>
      <sheetName val="f14-1"/>
      <sheetName val="d14-1"/>
      <sheetName val="f14-2"/>
      <sheetName val="d14-2"/>
      <sheetName val="d14-4"/>
      <sheetName val="d14-6"/>
    </sheetNames>
    <sheetDataSet>
      <sheetData sheetId="16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  <sheetData sheetId="36">
        <row r="1">
          <cell r="B1">
            <v>1946</v>
          </cell>
          <cell r="C1">
            <v>1947</v>
          </cell>
          <cell r="D1">
            <v>1948</v>
          </cell>
          <cell r="E1">
            <v>1949</v>
          </cell>
          <cell r="F1">
            <v>1950</v>
          </cell>
          <cell r="G1">
            <v>1951</v>
          </cell>
          <cell r="H1">
            <v>1952</v>
          </cell>
          <cell r="I1">
            <v>1953</v>
          </cell>
          <cell r="J1">
            <v>1954</v>
          </cell>
          <cell r="K1">
            <v>1955</v>
          </cell>
          <cell r="L1">
            <v>1956</v>
          </cell>
          <cell r="M1">
            <v>1957</v>
          </cell>
          <cell r="N1">
            <v>1958</v>
          </cell>
          <cell r="O1">
            <v>1959</v>
          </cell>
          <cell r="P1">
            <v>1960</v>
          </cell>
          <cell r="Q1">
            <v>1961</v>
          </cell>
          <cell r="R1">
            <v>1962</v>
          </cell>
          <cell r="S1">
            <v>1963</v>
          </cell>
          <cell r="T1">
            <v>1964</v>
          </cell>
          <cell r="U1">
            <v>1965</v>
          </cell>
          <cell r="V1">
            <v>1966</v>
          </cell>
          <cell r="W1">
            <v>1967</v>
          </cell>
          <cell r="X1">
            <v>1968</v>
          </cell>
          <cell r="Y1">
            <v>1969</v>
          </cell>
          <cell r="Z1">
            <v>1970</v>
          </cell>
          <cell r="AA1">
            <v>1971</v>
          </cell>
          <cell r="AB1">
            <v>1972</v>
          </cell>
          <cell r="AC1">
            <v>1973</v>
          </cell>
          <cell r="AD1">
            <v>1974</v>
          </cell>
          <cell r="AE1">
            <v>1975</v>
          </cell>
          <cell r="AF1">
            <v>1976</v>
          </cell>
          <cell r="AG1">
            <v>1977</v>
          </cell>
          <cell r="AH1">
            <v>1978</v>
          </cell>
          <cell r="AI1">
            <v>1979</v>
          </cell>
          <cell r="AJ1">
            <v>1980</v>
          </cell>
          <cell r="AK1">
            <v>1981</v>
          </cell>
          <cell r="AL1">
            <v>1982</v>
          </cell>
          <cell r="AM1">
            <v>1983</v>
          </cell>
          <cell r="AN1">
            <v>1984</v>
          </cell>
          <cell r="AO1">
            <v>1985</v>
          </cell>
          <cell r="AP1">
            <v>1986</v>
          </cell>
          <cell r="AQ1">
            <v>1987</v>
          </cell>
          <cell r="AR1">
            <v>1988</v>
          </cell>
          <cell r="AS1">
            <v>1989</v>
          </cell>
          <cell r="AT1">
            <v>1990</v>
          </cell>
          <cell r="AU1">
            <v>1991</v>
          </cell>
          <cell r="AV1">
            <v>1992</v>
          </cell>
          <cell r="AW1">
            <v>1993</v>
          </cell>
          <cell r="AX1">
            <v>1994</v>
          </cell>
          <cell r="AY1">
            <v>1995</v>
          </cell>
        </row>
        <row r="2">
          <cell r="B2">
            <v>19292</v>
          </cell>
          <cell r="C2">
            <v>8713</v>
          </cell>
          <cell r="D2">
            <v>7307</v>
          </cell>
          <cell r="E2">
            <v>5006</v>
          </cell>
          <cell r="F2">
            <v>4227</v>
          </cell>
          <cell r="G2">
            <v>6780</v>
          </cell>
          <cell r="H2">
            <v>7929</v>
          </cell>
          <cell r="I2">
            <v>9493</v>
          </cell>
          <cell r="J2">
            <v>9826</v>
          </cell>
          <cell r="K2">
            <v>11867</v>
          </cell>
          <cell r="L2">
            <v>11765</v>
          </cell>
          <cell r="M2">
            <v>10159</v>
          </cell>
          <cell r="N2">
            <v>9875</v>
          </cell>
          <cell r="O2">
            <v>9959</v>
          </cell>
          <cell r="P2">
            <v>10164</v>
          </cell>
          <cell r="Q2">
            <v>8224</v>
          </cell>
          <cell r="R2">
            <v>7752</v>
          </cell>
          <cell r="S2">
            <v>7833</v>
          </cell>
          <cell r="T2">
            <v>7385</v>
          </cell>
          <cell r="U2">
            <v>7553</v>
          </cell>
          <cell r="V2">
            <v>7970</v>
          </cell>
          <cell r="W2">
            <v>8007</v>
          </cell>
          <cell r="X2">
            <v>7277</v>
          </cell>
          <cell r="Y2">
            <v>7891</v>
          </cell>
          <cell r="Z2">
            <v>8115</v>
          </cell>
          <cell r="AA2">
            <v>5968</v>
          </cell>
          <cell r="AB2">
            <v>5875</v>
          </cell>
          <cell r="AC2">
            <v>6494</v>
          </cell>
          <cell r="AD2">
            <v>7529</v>
          </cell>
          <cell r="AE2">
            <v>7990</v>
          </cell>
          <cell r="AF2">
            <v>9241</v>
          </cell>
          <cell r="AG2">
            <v>8804</v>
          </cell>
          <cell r="AH2">
            <v>10207</v>
          </cell>
          <cell r="AI2">
            <v>9354</v>
          </cell>
          <cell r="AJ2">
            <v>9454</v>
          </cell>
          <cell r="AK2">
            <v>9343</v>
          </cell>
          <cell r="AL2">
            <v>9637</v>
          </cell>
          <cell r="AM2">
            <v>9556</v>
          </cell>
          <cell r="AN2">
            <v>9428</v>
          </cell>
          <cell r="AO2">
            <v>9703</v>
          </cell>
          <cell r="AP2">
            <v>9669</v>
          </cell>
          <cell r="AQ2">
            <v>9894</v>
          </cell>
          <cell r="AR2">
            <v>10398</v>
          </cell>
          <cell r="AS2">
            <v>10312</v>
          </cell>
          <cell r="AT2">
            <v>10432</v>
          </cell>
          <cell r="AU2">
            <v>11116</v>
          </cell>
          <cell r="AV2">
            <v>11463</v>
          </cell>
          <cell r="AW2">
            <v>12155</v>
          </cell>
          <cell r="AX2">
            <v>13009</v>
          </cell>
          <cell r="AY2">
            <v>13363</v>
          </cell>
        </row>
        <row r="3">
          <cell r="B3">
            <v>147997</v>
          </cell>
          <cell r="C3">
            <v>145364</v>
          </cell>
          <cell r="D3">
            <v>120386</v>
          </cell>
          <cell r="E3">
            <v>100362</v>
          </cell>
          <cell r="F3">
            <v>77900</v>
          </cell>
          <cell r="G3">
            <v>94750</v>
          </cell>
          <cell r="H3">
            <v>119341</v>
          </cell>
          <cell r="I3">
            <v>125755</v>
          </cell>
          <cell r="J3">
            <v>139161</v>
          </cell>
          <cell r="K3">
            <v>146885</v>
          </cell>
          <cell r="L3">
            <v>149714</v>
          </cell>
          <cell r="M3">
            <v>155517</v>
          </cell>
          <cell r="N3">
            <v>151708</v>
          </cell>
          <cell r="O3">
            <v>164012</v>
          </cell>
          <cell r="P3">
            <v>179986</v>
          </cell>
          <cell r="Q3">
            <v>193333</v>
          </cell>
          <cell r="R3">
            <v>211013</v>
          </cell>
          <cell r="S3">
            <v>283638</v>
          </cell>
          <cell r="T3">
            <v>289429</v>
          </cell>
          <cell r="U3">
            <v>311148</v>
          </cell>
          <cell r="V3">
            <v>340532</v>
          </cell>
          <cell r="W3">
            <v>375458</v>
          </cell>
          <cell r="X3">
            <v>414853</v>
          </cell>
          <cell r="Y3">
            <v>455287</v>
          </cell>
          <cell r="Z3">
            <v>497597</v>
          </cell>
          <cell r="AA3">
            <v>440429</v>
          </cell>
          <cell r="AB3">
            <v>439013</v>
          </cell>
          <cell r="AC3">
            <v>457349</v>
          </cell>
          <cell r="AD3">
            <v>487927</v>
          </cell>
          <cell r="AE3">
            <v>493734</v>
          </cell>
          <cell r="AF3">
            <v>505375</v>
          </cell>
          <cell r="AG3">
            <v>455150</v>
          </cell>
          <cell r="AH3">
            <v>485399</v>
          </cell>
          <cell r="AI3">
            <v>431964</v>
          </cell>
          <cell r="AJ3">
            <v>408620</v>
          </cell>
          <cell r="AK3">
            <v>384166</v>
          </cell>
          <cell r="AL3">
            <v>353094</v>
          </cell>
          <cell r="AM3">
            <v>325149</v>
          </cell>
          <cell r="AN3">
            <v>305760</v>
          </cell>
          <cell r="AO3">
            <v>289758</v>
          </cell>
          <cell r="AP3">
            <v>272492</v>
          </cell>
          <cell r="AQ3">
            <v>262100</v>
          </cell>
          <cell r="AR3">
            <v>253261</v>
          </cell>
          <cell r="AS3">
            <v>243629</v>
          </cell>
          <cell r="AT3">
            <v>237602</v>
          </cell>
          <cell r="AU3">
            <v>232271</v>
          </cell>
          <cell r="AV3">
            <v>224563</v>
          </cell>
          <cell r="AW3">
            <v>216427</v>
          </cell>
          <cell r="AX3">
            <v>211484</v>
          </cell>
          <cell r="AY3">
            <v>201891</v>
          </cell>
        </row>
        <row r="4">
          <cell r="F4">
            <v>8429</v>
          </cell>
          <cell r="G4">
            <v>17543</v>
          </cell>
          <cell r="H4">
            <v>20575</v>
          </cell>
          <cell r="I4">
            <v>27489</v>
          </cell>
          <cell r="J4">
            <v>34761</v>
          </cell>
          <cell r="K4">
            <v>29946</v>
          </cell>
          <cell r="L4">
            <v>27650</v>
          </cell>
          <cell r="M4">
            <v>29674</v>
          </cell>
          <cell r="N4">
            <v>15117</v>
          </cell>
          <cell r="O4">
            <v>13943</v>
          </cell>
          <cell r="P4">
            <v>18064</v>
          </cell>
          <cell r="Q4">
            <v>25104</v>
          </cell>
          <cell r="R4">
            <v>25010</v>
          </cell>
          <cell r="S4">
            <v>23006</v>
          </cell>
          <cell r="T4">
            <v>22385</v>
          </cell>
          <cell r="U4">
            <v>23748</v>
          </cell>
          <cell r="V4">
            <v>24627</v>
          </cell>
          <cell r="W4">
            <v>25582</v>
          </cell>
          <cell r="X4">
            <v>26690</v>
          </cell>
          <cell r="Y4">
            <v>27950</v>
          </cell>
          <cell r="Z4">
            <v>26553</v>
          </cell>
          <cell r="AA4">
            <v>21218</v>
          </cell>
          <cell r="AB4">
            <v>17396</v>
          </cell>
          <cell r="AC4">
            <v>16128</v>
          </cell>
          <cell r="AD4">
            <v>16787</v>
          </cell>
          <cell r="AE4">
            <v>16030</v>
          </cell>
          <cell r="AF4">
            <v>16014</v>
          </cell>
          <cell r="AG4">
            <v>13083</v>
          </cell>
          <cell r="AH4">
            <v>15055</v>
          </cell>
          <cell r="AI4">
            <v>15073</v>
          </cell>
          <cell r="AJ4">
            <v>13803</v>
          </cell>
          <cell r="AK4">
            <v>13209</v>
          </cell>
          <cell r="AL4">
            <v>12397</v>
          </cell>
          <cell r="AM4">
            <v>10538</v>
          </cell>
          <cell r="AN4">
            <v>9998</v>
          </cell>
          <cell r="AO4">
            <v>9402</v>
          </cell>
          <cell r="AP4">
            <v>8861</v>
          </cell>
          <cell r="AQ4">
            <v>8447</v>
          </cell>
          <cell r="AR4">
            <v>8642</v>
          </cell>
          <cell r="AS4">
            <v>8310</v>
          </cell>
          <cell r="AT4">
            <v>8357</v>
          </cell>
          <cell r="AU4">
            <v>8931</v>
          </cell>
          <cell r="AV4">
            <v>8859</v>
          </cell>
          <cell r="AW4">
            <v>8544</v>
          </cell>
          <cell r="AX4">
            <v>9436</v>
          </cell>
          <cell r="AY4">
            <v>9261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-1"/>
      <sheetName val="d1-1"/>
      <sheetName val="f2-5"/>
      <sheetName val="f2-6"/>
      <sheetName val="d2-5"/>
      <sheetName val="f3-2"/>
      <sheetName val="d3-2"/>
      <sheetName val="d4-1"/>
      <sheetName val="d4ｰ2"/>
      <sheetName val="f4-2"/>
      <sheetName val="ｄ4-4"/>
      <sheetName val="f4-4"/>
      <sheetName val="f5-1"/>
      <sheetName val="d5-1"/>
      <sheetName val="f5-2"/>
      <sheetName val="d5-2"/>
      <sheetName val="f5-3"/>
      <sheetName val="d5-3"/>
      <sheetName val="f6-6"/>
      <sheetName val="d6-6"/>
      <sheetName val="d7-2"/>
      <sheetName val="ｆ11-1"/>
      <sheetName val="d11-1"/>
      <sheetName val="f11ｰ2"/>
      <sheetName val="d11-2"/>
      <sheetName val="d12-1"/>
      <sheetName val="f12-2"/>
      <sheetName val="d12-2"/>
      <sheetName val="f14-1"/>
      <sheetName val="d14-1"/>
      <sheetName val="f14-2"/>
      <sheetName val="d14-2"/>
      <sheetName val="d14-4"/>
      <sheetName val="d14-6"/>
      <sheetName val="ｆ3-4"/>
      <sheetName val="d3-4"/>
      <sheetName val="d3ｰ5"/>
    </sheetNames>
    <sheetDataSet>
      <sheetData sheetId="13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  <sheetData sheetId="33">
        <row r="1">
          <cell r="B1">
            <v>1946</v>
          </cell>
          <cell r="C1">
            <v>1947</v>
          </cell>
          <cell r="D1">
            <v>1948</v>
          </cell>
          <cell r="E1">
            <v>1949</v>
          </cell>
          <cell r="F1">
            <v>1950</v>
          </cell>
          <cell r="G1">
            <v>1951</v>
          </cell>
          <cell r="H1">
            <v>1952</v>
          </cell>
          <cell r="I1">
            <v>1953</v>
          </cell>
          <cell r="J1">
            <v>1954</v>
          </cell>
          <cell r="K1">
            <v>1955</v>
          </cell>
          <cell r="L1">
            <v>1956</v>
          </cell>
          <cell r="M1">
            <v>1957</v>
          </cell>
          <cell r="N1">
            <v>1958</v>
          </cell>
          <cell r="O1">
            <v>1959</v>
          </cell>
          <cell r="P1">
            <v>1960</v>
          </cell>
          <cell r="Q1">
            <v>1961</v>
          </cell>
          <cell r="R1">
            <v>1962</v>
          </cell>
          <cell r="S1">
            <v>1963</v>
          </cell>
          <cell r="T1">
            <v>1964</v>
          </cell>
          <cell r="U1">
            <v>1965</v>
          </cell>
          <cell r="V1">
            <v>1966</v>
          </cell>
          <cell r="W1">
            <v>1967</v>
          </cell>
          <cell r="X1">
            <v>1968</v>
          </cell>
          <cell r="Y1">
            <v>1969</v>
          </cell>
          <cell r="Z1">
            <v>1970</v>
          </cell>
          <cell r="AA1">
            <v>1971</v>
          </cell>
          <cell r="AB1">
            <v>1972</v>
          </cell>
          <cell r="AC1">
            <v>1973</v>
          </cell>
          <cell r="AD1">
            <v>1974</v>
          </cell>
          <cell r="AE1">
            <v>1975</v>
          </cell>
          <cell r="AF1">
            <v>1976</v>
          </cell>
          <cell r="AG1">
            <v>1977</v>
          </cell>
          <cell r="AH1">
            <v>1978</v>
          </cell>
          <cell r="AI1">
            <v>1979</v>
          </cell>
          <cell r="AJ1">
            <v>1980</v>
          </cell>
          <cell r="AK1">
            <v>1981</v>
          </cell>
          <cell r="AL1">
            <v>1982</v>
          </cell>
          <cell r="AM1">
            <v>1983</v>
          </cell>
          <cell r="AN1">
            <v>1984</v>
          </cell>
          <cell r="AO1">
            <v>1985</v>
          </cell>
          <cell r="AP1">
            <v>1986</v>
          </cell>
          <cell r="AQ1">
            <v>1987</v>
          </cell>
          <cell r="AR1">
            <v>1988</v>
          </cell>
          <cell r="AS1">
            <v>1989</v>
          </cell>
          <cell r="AT1">
            <v>1990</v>
          </cell>
          <cell r="AU1">
            <v>1991</v>
          </cell>
          <cell r="AV1">
            <v>1992</v>
          </cell>
          <cell r="AW1">
            <v>1993</v>
          </cell>
          <cell r="AX1">
            <v>1994</v>
          </cell>
          <cell r="AY1">
            <v>1995</v>
          </cell>
        </row>
        <row r="2">
          <cell r="B2">
            <v>19292</v>
          </cell>
          <cell r="C2">
            <v>8713</v>
          </cell>
          <cell r="D2">
            <v>7307</v>
          </cell>
          <cell r="E2">
            <v>5006</v>
          </cell>
          <cell r="F2">
            <v>4227</v>
          </cell>
          <cell r="G2">
            <v>6780</v>
          </cell>
          <cell r="H2">
            <v>7929</v>
          </cell>
          <cell r="I2">
            <v>9493</v>
          </cell>
          <cell r="J2">
            <v>9826</v>
          </cell>
          <cell r="K2">
            <v>11867</v>
          </cell>
          <cell r="L2">
            <v>11765</v>
          </cell>
          <cell r="M2">
            <v>10159</v>
          </cell>
          <cell r="N2">
            <v>9875</v>
          </cell>
          <cell r="O2">
            <v>9959</v>
          </cell>
          <cell r="P2">
            <v>10164</v>
          </cell>
          <cell r="Q2">
            <v>8224</v>
          </cell>
          <cell r="R2">
            <v>7752</v>
          </cell>
          <cell r="S2">
            <v>7833</v>
          </cell>
          <cell r="T2">
            <v>7385</v>
          </cell>
          <cell r="U2">
            <v>7553</v>
          </cell>
          <cell r="V2">
            <v>7970</v>
          </cell>
          <cell r="W2">
            <v>8007</v>
          </cell>
          <cell r="X2">
            <v>7277</v>
          </cell>
          <cell r="Y2">
            <v>7891</v>
          </cell>
          <cell r="Z2">
            <v>8115</v>
          </cell>
          <cell r="AA2">
            <v>5968</v>
          </cell>
          <cell r="AB2">
            <v>5875</v>
          </cell>
          <cell r="AC2">
            <v>6494</v>
          </cell>
          <cell r="AD2">
            <v>7529</v>
          </cell>
          <cell r="AE2">
            <v>7990</v>
          </cell>
          <cell r="AF2">
            <v>9241</v>
          </cell>
          <cell r="AG2">
            <v>8804</v>
          </cell>
          <cell r="AH2">
            <v>10207</v>
          </cell>
          <cell r="AI2">
            <v>9354</v>
          </cell>
          <cell r="AJ2">
            <v>9454</v>
          </cell>
          <cell r="AK2">
            <v>9343</v>
          </cell>
          <cell r="AL2">
            <v>9637</v>
          </cell>
          <cell r="AM2">
            <v>9556</v>
          </cell>
          <cell r="AN2">
            <v>9428</v>
          </cell>
          <cell r="AO2">
            <v>9703</v>
          </cell>
          <cell r="AP2">
            <v>9669</v>
          </cell>
          <cell r="AQ2">
            <v>9894</v>
          </cell>
          <cell r="AR2">
            <v>10398</v>
          </cell>
          <cell r="AS2">
            <v>10312</v>
          </cell>
          <cell r="AT2">
            <v>10432</v>
          </cell>
          <cell r="AU2">
            <v>11116</v>
          </cell>
          <cell r="AV2">
            <v>11463</v>
          </cell>
          <cell r="AW2">
            <v>12155</v>
          </cell>
          <cell r="AX2">
            <v>13009</v>
          </cell>
          <cell r="AY2">
            <v>13363</v>
          </cell>
        </row>
        <row r="3">
          <cell r="B3">
            <v>147997</v>
          </cell>
          <cell r="C3">
            <v>145364</v>
          </cell>
          <cell r="D3">
            <v>120386</v>
          </cell>
          <cell r="E3">
            <v>100362</v>
          </cell>
          <cell r="F3">
            <v>77900</v>
          </cell>
          <cell r="G3">
            <v>94750</v>
          </cell>
          <cell r="H3">
            <v>119341</v>
          </cell>
          <cell r="I3">
            <v>125755</v>
          </cell>
          <cell r="J3">
            <v>139161</v>
          </cell>
          <cell r="K3">
            <v>146885</v>
          </cell>
          <cell r="L3">
            <v>149714</v>
          </cell>
          <cell r="M3">
            <v>155517</v>
          </cell>
          <cell r="N3">
            <v>151708</v>
          </cell>
          <cell r="O3">
            <v>164012</v>
          </cell>
          <cell r="P3">
            <v>179986</v>
          </cell>
          <cell r="Q3">
            <v>193333</v>
          </cell>
          <cell r="R3">
            <v>211013</v>
          </cell>
          <cell r="S3">
            <v>283638</v>
          </cell>
          <cell r="T3">
            <v>289429</v>
          </cell>
          <cell r="U3">
            <v>311148</v>
          </cell>
          <cell r="V3">
            <v>340532</v>
          </cell>
          <cell r="W3">
            <v>375458</v>
          </cell>
          <cell r="X3">
            <v>414853</v>
          </cell>
          <cell r="Y3">
            <v>455287</v>
          </cell>
          <cell r="Z3">
            <v>497597</v>
          </cell>
          <cell r="AA3">
            <v>440429</v>
          </cell>
          <cell r="AB3">
            <v>439013</v>
          </cell>
          <cell r="AC3">
            <v>457349</v>
          </cell>
          <cell r="AD3">
            <v>487927</v>
          </cell>
          <cell r="AE3">
            <v>493734</v>
          </cell>
          <cell r="AF3">
            <v>505375</v>
          </cell>
          <cell r="AG3">
            <v>455150</v>
          </cell>
          <cell r="AH3">
            <v>485399</v>
          </cell>
          <cell r="AI3">
            <v>431964</v>
          </cell>
          <cell r="AJ3">
            <v>408620</v>
          </cell>
          <cell r="AK3">
            <v>384166</v>
          </cell>
          <cell r="AL3">
            <v>353094</v>
          </cell>
          <cell r="AM3">
            <v>325149</v>
          </cell>
          <cell r="AN3">
            <v>305760</v>
          </cell>
          <cell r="AO3">
            <v>289758</v>
          </cell>
          <cell r="AP3">
            <v>272492</v>
          </cell>
          <cell r="AQ3">
            <v>262100</v>
          </cell>
          <cell r="AR3">
            <v>253261</v>
          </cell>
          <cell r="AS3">
            <v>243629</v>
          </cell>
          <cell r="AT3">
            <v>237602</v>
          </cell>
          <cell r="AU3">
            <v>232271</v>
          </cell>
          <cell r="AV3">
            <v>224563</v>
          </cell>
          <cell r="AW3">
            <v>216427</v>
          </cell>
          <cell r="AX3">
            <v>211484</v>
          </cell>
          <cell r="AY3">
            <v>201891</v>
          </cell>
        </row>
        <row r="4">
          <cell r="F4">
            <v>8429</v>
          </cell>
          <cell r="G4">
            <v>17543</v>
          </cell>
          <cell r="H4">
            <v>20575</v>
          </cell>
          <cell r="I4">
            <v>27489</v>
          </cell>
          <cell r="J4">
            <v>34761</v>
          </cell>
          <cell r="K4">
            <v>29946</v>
          </cell>
          <cell r="L4">
            <v>27650</v>
          </cell>
          <cell r="M4">
            <v>29674</v>
          </cell>
          <cell r="N4">
            <v>15117</v>
          </cell>
          <cell r="O4">
            <v>13943</v>
          </cell>
          <cell r="P4">
            <v>18064</v>
          </cell>
          <cell r="Q4">
            <v>25104</v>
          </cell>
          <cell r="R4">
            <v>25010</v>
          </cell>
          <cell r="S4">
            <v>23006</v>
          </cell>
          <cell r="T4">
            <v>22385</v>
          </cell>
          <cell r="U4">
            <v>23748</v>
          </cell>
          <cell r="V4">
            <v>24627</v>
          </cell>
          <cell r="W4">
            <v>25582</v>
          </cell>
          <cell r="X4">
            <v>26690</v>
          </cell>
          <cell r="Y4">
            <v>27950</v>
          </cell>
          <cell r="Z4">
            <v>26553</v>
          </cell>
          <cell r="AA4">
            <v>21218</v>
          </cell>
          <cell r="AB4">
            <v>17396</v>
          </cell>
          <cell r="AC4">
            <v>16128</v>
          </cell>
          <cell r="AD4">
            <v>16787</v>
          </cell>
          <cell r="AE4">
            <v>16030</v>
          </cell>
          <cell r="AF4">
            <v>16014</v>
          </cell>
          <cell r="AG4">
            <v>13083</v>
          </cell>
          <cell r="AH4">
            <v>15055</v>
          </cell>
          <cell r="AI4">
            <v>15073</v>
          </cell>
          <cell r="AJ4">
            <v>13803</v>
          </cell>
          <cell r="AK4">
            <v>13209</v>
          </cell>
          <cell r="AL4">
            <v>12397</v>
          </cell>
          <cell r="AM4">
            <v>10538</v>
          </cell>
          <cell r="AN4">
            <v>9998</v>
          </cell>
          <cell r="AO4">
            <v>9402</v>
          </cell>
          <cell r="AP4">
            <v>8861</v>
          </cell>
          <cell r="AQ4">
            <v>8447</v>
          </cell>
          <cell r="AR4">
            <v>8642</v>
          </cell>
          <cell r="AS4">
            <v>8310</v>
          </cell>
          <cell r="AT4">
            <v>8357</v>
          </cell>
          <cell r="AU4">
            <v>8931</v>
          </cell>
          <cell r="AV4">
            <v>8859</v>
          </cell>
          <cell r="AW4">
            <v>8544</v>
          </cell>
          <cell r="AX4">
            <v>9436</v>
          </cell>
          <cell r="AY4">
            <v>9261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作表用"/>
      <sheetName val="2logistic"/>
      <sheetName val="2密度効果"/>
      <sheetName val="2込合い"/>
      <sheetName val="2Leslie"/>
      <sheetName val="2日本人"/>
      <sheetName val="表1"/>
      <sheetName val="真珠母貝"/>
      <sheetName val="2tuna"/>
      <sheetName val="Table2"/>
      <sheetName val="Table3"/>
      <sheetName val="図7"/>
      <sheetName val="2成長"/>
      <sheetName val="2蜆"/>
      <sheetName val="表7"/>
      <sheetName val="Table5"/>
      <sheetName val="2SBTlife"/>
      <sheetName val="2fluctua"/>
      <sheetName val="fig16"/>
      <sheetName val="fig13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観察04"/>
      <sheetName val="捕殺数"/>
      <sheetName val="熊"/>
      <sheetName val="トド駆除数"/>
      <sheetName val="トドリスク"/>
      <sheetName val="PBR"/>
      <sheetName val="カワウ"/>
      <sheetName val="個体群動態"/>
      <sheetName val="Allee"/>
      <sheetName val="防除揺らぎ"/>
      <sheetName val="風発"/>
      <sheetName val="発電費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ihs.go.jp/hse/food-info/mhlw/news/050812/050812-6.pdf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29" sqref="B29"/>
    </sheetView>
  </sheetViews>
  <sheetFormatPr defaultColWidth="9.00390625" defaultRowHeight="13.5"/>
  <cols>
    <col min="1" max="1" width="23.75390625" style="0" customWidth="1"/>
  </cols>
  <sheetData>
    <row r="1" spans="1:3" ht="13.5">
      <c r="A1" t="s">
        <v>0</v>
      </c>
      <c r="B1" t="s">
        <v>1</v>
      </c>
      <c r="C1" t="s">
        <v>2</v>
      </c>
    </row>
    <row r="2" spans="2:8" ht="13.5">
      <c r="B2" t="s">
        <v>9</v>
      </c>
      <c r="C2" t="s">
        <v>3</v>
      </c>
      <c r="E2" t="s">
        <v>1</v>
      </c>
      <c r="F2" t="s">
        <v>2</v>
      </c>
      <c r="G2" t="s">
        <v>10</v>
      </c>
      <c r="H2" t="s">
        <v>11</v>
      </c>
    </row>
    <row r="3" spans="1:8" ht="13.5">
      <c r="A3" s="1" t="s">
        <v>4</v>
      </c>
      <c r="B3" s="3">
        <v>25</v>
      </c>
      <c r="C3" s="2">
        <f>(1.4*B3+3)/1000</f>
        <v>0.038</v>
      </c>
      <c r="E3" s="4">
        <v>1</v>
      </c>
      <c r="F3" s="2">
        <f aca="true" t="shared" si="0" ref="F3:F16">(1.4*E3+3)/1000</f>
        <v>0.0044</v>
      </c>
      <c r="G3" s="9">
        <f>LOGNORMDIST(F3,B$17,C$17)</f>
        <v>1.47823501161909E-10</v>
      </c>
      <c r="H3" s="9">
        <f>LOGNORMDIST(F3,B$13,C$13)</f>
        <v>2.2151695571182017E-06</v>
      </c>
    </row>
    <row r="4" spans="1:8" ht="13.5">
      <c r="A4" s="1" t="s">
        <v>5</v>
      </c>
      <c r="B4" s="3">
        <v>15.714285714285714</v>
      </c>
      <c r="C4" s="2">
        <f>(1.4*B4+3)/1000</f>
        <v>0.024999999999999998</v>
      </c>
      <c r="E4" s="5">
        <f>E3*2</f>
        <v>2</v>
      </c>
      <c r="F4" s="2">
        <f t="shared" si="0"/>
        <v>0.0058</v>
      </c>
      <c r="G4" s="9">
        <f aca="true" t="shared" si="1" ref="G4:G16">LOGNORMDIST(F4,B$17,C$17)</f>
        <v>7.820262664396847E-10</v>
      </c>
      <c r="H4" s="9">
        <f aca="true" t="shared" si="2" ref="H4:H16">LOGNORMDIST(F4,B$13,C$13)</f>
        <v>6.982856455728381E-06</v>
      </c>
    </row>
    <row r="5" spans="1:8" ht="13.5">
      <c r="A5" s="1" t="s">
        <v>6</v>
      </c>
      <c r="B5" s="3">
        <f>0.8*8.42</f>
        <v>6.736000000000001</v>
      </c>
      <c r="C5" s="2">
        <f>(1.4*B5+3)/1000</f>
        <v>0.012430400000000001</v>
      </c>
      <c r="E5" s="5">
        <f aca="true" t="shared" si="3" ref="E5:E16">E4*2</f>
        <v>4</v>
      </c>
      <c r="F5" s="2">
        <f t="shared" si="0"/>
        <v>0.0086</v>
      </c>
      <c r="G5" s="9">
        <f t="shared" si="1"/>
        <v>7.48072255256004E-09</v>
      </c>
      <c r="H5" s="9">
        <f t="shared" si="2"/>
        <v>3.2475677463228436E-05</v>
      </c>
    </row>
    <row r="6" spans="1:8" ht="13.5">
      <c r="A6" s="1" t="s">
        <v>7</v>
      </c>
      <c r="B6" s="3">
        <v>5.9</v>
      </c>
      <c r="C6" s="2">
        <f>(1.4*B6+3)/1000</f>
        <v>0.01126</v>
      </c>
      <c r="E6" s="5">
        <f t="shared" si="3"/>
        <v>8</v>
      </c>
      <c r="F6" s="2">
        <f t="shared" si="0"/>
        <v>0.014199999999999999</v>
      </c>
      <c r="G6" s="9">
        <f t="shared" si="1"/>
        <v>1.0869849986216274E-07</v>
      </c>
      <c r="H6" s="9">
        <f t="shared" si="2"/>
        <v>0.00019405240397907253</v>
      </c>
    </row>
    <row r="7" spans="1:8" ht="13.5">
      <c r="A7" s="1" t="s">
        <v>8</v>
      </c>
      <c r="B7" s="3">
        <v>1250</v>
      </c>
      <c r="C7" s="2">
        <f>(1.4*B7+3)/1000</f>
        <v>1.753</v>
      </c>
      <c r="E7" s="5">
        <f t="shared" si="3"/>
        <v>16</v>
      </c>
      <c r="F7" s="2">
        <f t="shared" si="0"/>
        <v>0.0254</v>
      </c>
      <c r="G7" s="9">
        <f t="shared" si="1"/>
        <v>1.8344660043245753E-06</v>
      </c>
      <c r="H7" s="9">
        <f t="shared" si="2"/>
        <v>0.0012193348336875243</v>
      </c>
    </row>
    <row r="8" spans="5:8" ht="13.5">
      <c r="E8" s="5">
        <f t="shared" si="3"/>
        <v>32</v>
      </c>
      <c r="F8" s="2">
        <f t="shared" si="0"/>
        <v>0.047799999999999995</v>
      </c>
      <c r="G8" s="9">
        <f t="shared" si="1"/>
        <v>2.8319974117341218E-05</v>
      </c>
      <c r="H8" s="9">
        <f t="shared" si="2"/>
        <v>0.006784010005283836</v>
      </c>
    </row>
    <row r="9" spans="5:8" ht="13.5">
      <c r="E9" s="5">
        <f t="shared" si="3"/>
        <v>64</v>
      </c>
      <c r="F9" s="2">
        <f t="shared" si="0"/>
        <v>0.09259999999999999</v>
      </c>
      <c r="G9" s="9">
        <f t="shared" si="1"/>
        <v>0.00034210295518544154</v>
      </c>
      <c r="H9" s="9">
        <f t="shared" si="2"/>
        <v>0.03002869871880065</v>
      </c>
    </row>
    <row r="10" spans="1:8" ht="13.5">
      <c r="A10" s="7"/>
      <c r="B10" s="7"/>
      <c r="C10" t="s">
        <v>17</v>
      </c>
      <c r="E10" s="5">
        <f t="shared" si="3"/>
        <v>128</v>
      </c>
      <c r="F10" s="2">
        <f t="shared" si="0"/>
        <v>0.1822</v>
      </c>
      <c r="G10" s="9">
        <f t="shared" si="1"/>
        <v>0.002975739237472519</v>
      </c>
      <c r="H10" s="9">
        <f t="shared" si="2"/>
        <v>0.10055235956621555</v>
      </c>
    </row>
    <row r="11" spans="1:8" ht="13.5">
      <c r="A11" t="s">
        <v>12</v>
      </c>
      <c r="B11" t="s">
        <v>13</v>
      </c>
      <c r="C11" t="s">
        <v>14</v>
      </c>
      <c r="E11" s="5">
        <f t="shared" si="3"/>
        <v>256</v>
      </c>
      <c r="F11" s="2">
        <f t="shared" si="0"/>
        <v>0.3614</v>
      </c>
      <c r="G11" s="9">
        <f t="shared" si="1"/>
        <v>0.017980661228558903</v>
      </c>
      <c r="H11" s="9">
        <f t="shared" si="2"/>
        <v>0.25165958854489934</v>
      </c>
    </row>
    <row r="12" spans="1:8" ht="13.5">
      <c r="A12" t="s">
        <v>15</v>
      </c>
      <c r="B12" s="6">
        <v>0.767</v>
      </c>
      <c r="C12" s="7">
        <v>3.0782176609859095</v>
      </c>
      <c r="E12" s="5">
        <f t="shared" si="3"/>
        <v>512</v>
      </c>
      <c r="F12" s="2">
        <f t="shared" si="0"/>
        <v>0.7198</v>
      </c>
      <c r="G12" s="9">
        <f t="shared" si="1"/>
        <v>0.0748814720514901</v>
      </c>
      <c r="H12" s="9">
        <f t="shared" si="2"/>
        <v>0.47747614460509014</v>
      </c>
    </row>
    <row r="13" spans="2:8" ht="13.5">
      <c r="B13">
        <f>LN(B12)</f>
        <v>-0.26526847761488087</v>
      </c>
      <c r="C13">
        <f>LN(C12)</f>
        <v>1.1243507479866408</v>
      </c>
      <c r="D13" s="7"/>
      <c r="E13" s="5">
        <f t="shared" si="3"/>
        <v>1024</v>
      </c>
      <c r="F13" s="2">
        <f t="shared" si="0"/>
        <v>1.4365999999999999</v>
      </c>
      <c r="G13" s="9">
        <f t="shared" si="1"/>
        <v>0.21728442822910554</v>
      </c>
      <c r="H13" s="9">
        <f t="shared" si="2"/>
        <v>0.7116263837368346</v>
      </c>
    </row>
    <row r="14" spans="1:8" ht="13.5">
      <c r="A14" s="6"/>
      <c r="B14" s="8"/>
      <c r="C14" t="s">
        <v>16</v>
      </c>
      <c r="E14" s="5">
        <f t="shared" si="3"/>
        <v>2048</v>
      </c>
      <c r="F14" s="2">
        <f t="shared" si="0"/>
        <v>2.8701999999999996</v>
      </c>
      <c r="G14" s="9">
        <f t="shared" si="1"/>
        <v>0.4516743353754159</v>
      </c>
      <c r="H14" s="9">
        <f t="shared" si="2"/>
        <v>0.8797423447011292</v>
      </c>
    </row>
    <row r="15" spans="1:8" ht="13.5">
      <c r="A15" t="s">
        <v>18</v>
      </c>
      <c r="B15" t="s">
        <v>13</v>
      </c>
      <c r="C15" t="s">
        <v>14</v>
      </c>
      <c r="E15" s="5">
        <f t="shared" si="3"/>
        <v>4096</v>
      </c>
      <c r="F15" s="2">
        <f t="shared" si="0"/>
        <v>5.7374</v>
      </c>
      <c r="G15" s="9">
        <f t="shared" si="1"/>
        <v>0.7050670914563861</v>
      </c>
      <c r="H15" s="9">
        <f t="shared" si="2"/>
        <v>0.9632506468839299</v>
      </c>
    </row>
    <row r="16" spans="1:8" ht="13.5">
      <c r="A16" t="s">
        <v>15</v>
      </c>
      <c r="B16" s="6">
        <v>3.26</v>
      </c>
      <c r="C16" s="7">
        <v>2.8539262853476246</v>
      </c>
      <c r="E16" s="5">
        <f t="shared" si="3"/>
        <v>8192</v>
      </c>
      <c r="F16" s="2">
        <f t="shared" si="0"/>
        <v>11.4718</v>
      </c>
      <c r="G16" s="9">
        <f t="shared" si="1"/>
        <v>0.8848802942300389</v>
      </c>
      <c r="H16" s="9">
        <f t="shared" si="2"/>
        <v>0.9919353263144164</v>
      </c>
    </row>
    <row r="17" spans="2:3" ht="13.5">
      <c r="B17">
        <f>LN(B16)</f>
        <v>1.1817271953786161</v>
      </c>
      <c r="C17">
        <f>LN(C16)</f>
        <v>1.048695690181357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39" sqref="O39"/>
    </sheetView>
  </sheetViews>
  <sheetFormatPr defaultColWidth="5.875" defaultRowHeight="13.5"/>
  <cols>
    <col min="1" max="1" width="15.25390625" style="13" customWidth="1"/>
    <col min="2" max="5" width="5.875" style="11" customWidth="1"/>
    <col min="6" max="7" width="5.875" style="12" customWidth="1"/>
    <col min="8" max="16384" width="5.875" style="13" customWidth="1"/>
  </cols>
  <sheetData>
    <row r="1" ht="11.25">
      <c r="F1" s="12" t="s">
        <v>43</v>
      </c>
    </row>
    <row r="2" spans="1:7" ht="13.5">
      <c r="A2" s="10" t="s">
        <v>36</v>
      </c>
      <c r="B2" s="11" t="s">
        <v>37</v>
      </c>
      <c r="C2" s="11" t="s">
        <v>19</v>
      </c>
      <c r="D2" s="11" t="s">
        <v>20</v>
      </c>
      <c r="E2" s="11" t="s">
        <v>21</v>
      </c>
      <c r="F2" s="12" t="s">
        <v>38</v>
      </c>
      <c r="G2" s="12" t="s">
        <v>39</v>
      </c>
    </row>
    <row r="3" spans="1:7" ht="11.25">
      <c r="A3" s="13" t="s">
        <v>35</v>
      </c>
      <c r="B3" s="11">
        <v>148</v>
      </c>
      <c r="C3" s="11" t="s">
        <v>22</v>
      </c>
      <c r="D3" s="11">
        <v>0.09</v>
      </c>
      <c r="E3" s="11">
        <v>0.009</v>
      </c>
      <c r="F3" s="12">
        <f aca="true" t="shared" si="0" ref="F3:F18">IF(B3&gt;2,(D3-E3)/G3/SQRT(B3),"")</f>
        <v>0.002695674729853769</v>
      </c>
      <c r="G3" s="12">
        <f aca="true" t="shared" si="1" ref="G3:G18">IF(B3&gt;2,NORMSINV(1-1/B3),"")</f>
        <v>2.469941537133508</v>
      </c>
    </row>
    <row r="4" spans="1:7" ht="11.25">
      <c r="A4" s="13" t="s">
        <v>34</v>
      </c>
      <c r="B4" s="11">
        <v>160</v>
      </c>
      <c r="C4" s="11" t="s">
        <v>22</v>
      </c>
      <c r="D4" s="11">
        <v>0.11</v>
      </c>
      <c r="E4" s="11">
        <v>0.01</v>
      </c>
      <c r="F4" s="12">
        <f t="shared" si="0"/>
        <v>0.003165182697243716</v>
      </c>
      <c r="G4" s="12">
        <f t="shared" si="1"/>
        <v>2.4977054744123723</v>
      </c>
    </row>
    <row r="5" spans="1:7" ht="11.25">
      <c r="A5" s="13" t="s">
        <v>33</v>
      </c>
      <c r="B5" s="11">
        <v>74</v>
      </c>
      <c r="C5" s="11" t="s">
        <v>22</v>
      </c>
      <c r="D5" s="11">
        <v>0.24</v>
      </c>
      <c r="E5" s="11">
        <v>0.035</v>
      </c>
      <c r="F5" s="12">
        <f t="shared" si="0"/>
        <v>0.010777654718226757</v>
      </c>
      <c r="G5" s="12">
        <f t="shared" si="1"/>
        <v>2.2111272410853235</v>
      </c>
    </row>
    <row r="6" spans="1:7" ht="11.25">
      <c r="A6" s="13" t="s">
        <v>29</v>
      </c>
      <c r="B6" s="11">
        <v>108</v>
      </c>
      <c r="C6" s="11" t="s">
        <v>22</v>
      </c>
      <c r="D6" s="11">
        <v>0.23</v>
      </c>
      <c r="E6" s="11">
        <v>0.058</v>
      </c>
      <c r="F6" s="12">
        <f t="shared" si="0"/>
        <v>0.007027650669807633</v>
      </c>
      <c r="G6" s="12">
        <f t="shared" si="1"/>
        <v>2.3550840094933623</v>
      </c>
    </row>
    <row r="7" spans="1:7" ht="11.25">
      <c r="A7" s="13" t="s">
        <v>30</v>
      </c>
      <c r="B7" s="11">
        <v>85</v>
      </c>
      <c r="C7" s="11" t="s">
        <v>22</v>
      </c>
      <c r="D7" s="11">
        <v>0.16</v>
      </c>
      <c r="E7" s="11">
        <v>0.058</v>
      </c>
      <c r="F7" s="12">
        <f t="shared" si="0"/>
        <v>0.004885114761405217</v>
      </c>
      <c r="G7" s="12">
        <f t="shared" si="1"/>
        <v>2.264727419744185</v>
      </c>
    </row>
    <row r="8" spans="1:7" ht="11.25">
      <c r="A8" s="13" t="s">
        <v>31</v>
      </c>
      <c r="B8" s="11">
        <v>200</v>
      </c>
      <c r="C8" s="11" t="s">
        <v>22</v>
      </c>
      <c r="D8" s="11">
        <v>1.08</v>
      </c>
      <c r="E8" s="11">
        <v>0.058</v>
      </c>
      <c r="F8" s="12">
        <f t="shared" si="0"/>
        <v>0.02805555202656423</v>
      </c>
      <c r="G8" s="12">
        <f t="shared" si="1"/>
        <v>2.57582930354891</v>
      </c>
    </row>
    <row r="9" spans="1:7" ht="11.25">
      <c r="A9" s="13" t="s">
        <v>32</v>
      </c>
      <c r="B9" s="11">
        <v>57</v>
      </c>
      <c r="C9" s="11" t="s">
        <v>22</v>
      </c>
      <c r="D9" s="11">
        <v>0.17</v>
      </c>
      <c r="E9" s="11">
        <v>0.058</v>
      </c>
      <c r="F9" s="12">
        <f t="shared" si="0"/>
        <v>0.0070395522127974525</v>
      </c>
      <c r="G9" s="12">
        <f t="shared" si="1"/>
        <v>2.1073446081072955</v>
      </c>
    </row>
    <row r="10" spans="1:7" ht="11.25">
      <c r="A10" s="13" t="s">
        <v>28</v>
      </c>
      <c r="B10" s="11">
        <v>40</v>
      </c>
      <c r="C10" s="11">
        <v>0.005</v>
      </c>
      <c r="D10" s="11">
        <v>0.45</v>
      </c>
      <c r="E10" s="11">
        <v>0.07</v>
      </c>
      <c r="F10" s="12">
        <f t="shared" si="0"/>
        <v>0.030655295718252182</v>
      </c>
      <c r="G10" s="12">
        <f t="shared" si="1"/>
        <v>1.959963984540054</v>
      </c>
    </row>
    <row r="11" spans="1:7" ht="11.25">
      <c r="A11" s="13" t="s">
        <v>27</v>
      </c>
      <c r="B11" s="11">
        <v>259</v>
      </c>
      <c r="C11" s="11" t="s">
        <v>22</v>
      </c>
      <c r="D11" s="11">
        <v>0.55</v>
      </c>
      <c r="E11" s="11">
        <v>0.116</v>
      </c>
      <c r="F11" s="12">
        <f t="shared" si="0"/>
        <v>0.010122957482484648</v>
      </c>
      <c r="G11" s="12">
        <f t="shared" si="1"/>
        <v>2.663989045801367</v>
      </c>
    </row>
    <row r="12" spans="1:7" ht="11.25">
      <c r="A12" s="13" t="s">
        <v>26</v>
      </c>
      <c r="B12" s="11">
        <v>93</v>
      </c>
      <c r="C12" s="11" t="s">
        <v>22</v>
      </c>
      <c r="D12" s="11">
        <v>0.511</v>
      </c>
      <c r="E12" s="11">
        <v>0.139</v>
      </c>
      <c r="F12" s="12">
        <f t="shared" si="0"/>
        <v>0.016778917868204332</v>
      </c>
      <c r="G12" s="12">
        <f t="shared" si="1"/>
        <v>2.298992303733116</v>
      </c>
    </row>
    <row r="13" spans="1:7" ht="11.25">
      <c r="A13" s="13" t="s">
        <v>25</v>
      </c>
      <c r="B13" s="11">
        <v>96</v>
      </c>
      <c r="C13" s="11" t="s">
        <v>22</v>
      </c>
      <c r="D13" s="11">
        <v>0.69</v>
      </c>
      <c r="E13" s="11">
        <v>0.153</v>
      </c>
      <c r="F13" s="12">
        <f t="shared" si="0"/>
        <v>0.023715940465662045</v>
      </c>
      <c r="G13" s="12">
        <f t="shared" si="1"/>
        <v>2.310991338257419</v>
      </c>
    </row>
    <row r="14" spans="1:7" ht="11.25">
      <c r="A14" s="13" t="s">
        <v>40</v>
      </c>
      <c r="B14" s="11">
        <v>868</v>
      </c>
      <c r="C14" s="11">
        <v>0.003</v>
      </c>
      <c r="D14" s="11">
        <v>0.83</v>
      </c>
      <c r="E14" s="11">
        <v>0.155</v>
      </c>
      <c r="F14" s="12">
        <f t="shared" si="0"/>
        <v>0.007516874114231783</v>
      </c>
      <c r="G14" s="12">
        <f t="shared" si="1"/>
        <v>3.0479415413608253</v>
      </c>
    </row>
    <row r="15" spans="1:7" ht="11.25">
      <c r="A15" s="13" t="s">
        <v>24</v>
      </c>
      <c r="B15" s="11">
        <v>68</v>
      </c>
      <c r="C15" s="11">
        <v>0.017</v>
      </c>
      <c r="D15" s="11">
        <v>0.81</v>
      </c>
      <c r="E15" s="11">
        <v>0.216</v>
      </c>
      <c r="F15" s="12">
        <f t="shared" si="0"/>
        <v>0.033074208018810766</v>
      </c>
      <c r="G15" s="12">
        <f t="shared" si="1"/>
        <v>2.1779230690821834</v>
      </c>
    </row>
    <row r="16" spans="1:7" ht="11.25">
      <c r="A16" s="13" t="s">
        <v>41</v>
      </c>
      <c r="B16" s="11">
        <v>47</v>
      </c>
      <c r="C16" s="11">
        <v>0.023</v>
      </c>
      <c r="D16" s="11">
        <v>3.09</v>
      </c>
      <c r="E16" s="11">
        <v>0.264</v>
      </c>
      <c r="F16" s="12">
        <f t="shared" si="0"/>
        <v>0.20325464099819127</v>
      </c>
      <c r="G16" s="12">
        <f t="shared" si="1"/>
        <v>2.028069144933907</v>
      </c>
    </row>
    <row r="17" spans="1:7" ht="11.25">
      <c r="A17" s="13" t="s">
        <v>23</v>
      </c>
      <c r="B17" s="14">
        <v>111</v>
      </c>
      <c r="C17" s="11" t="s">
        <v>22</v>
      </c>
      <c r="D17" s="11">
        <v>2.18</v>
      </c>
      <c r="E17" s="11">
        <v>0.684</v>
      </c>
      <c r="F17" s="12">
        <f t="shared" si="0"/>
        <v>0.060033475295406494</v>
      </c>
      <c r="G17" s="12">
        <f t="shared" si="1"/>
        <v>2.365247646681528</v>
      </c>
    </row>
    <row r="18" spans="1:7" ht="11.25">
      <c r="A18" s="13" t="s">
        <v>42</v>
      </c>
      <c r="B18" s="11">
        <v>127</v>
      </c>
      <c r="C18" s="11">
        <v>0.047</v>
      </c>
      <c r="D18" s="11">
        <v>6.1</v>
      </c>
      <c r="E18" s="11">
        <v>0.723</v>
      </c>
      <c r="F18" s="12">
        <f t="shared" si="0"/>
        <v>0.19759429385731797</v>
      </c>
      <c r="G18" s="12">
        <f t="shared" si="1"/>
        <v>2.4147033084749863</v>
      </c>
    </row>
  </sheetData>
  <sheetProtection/>
  <conditionalFormatting sqref="B13:B15 B9:B10">
    <cfRule type="cellIs" priority="1" dxfId="0" operator="between" stopIfTrue="1">
      <formula>0</formula>
      <formula>99</formula>
    </cfRule>
    <cfRule type="cellIs" priority="2" dxfId="1" operator="between" stopIfTrue="1">
      <formula>100</formula>
      <formula>9999</formula>
    </cfRule>
  </conditionalFormatting>
  <hyperlinks>
    <hyperlink ref="A2" r:id="rId1" display="http://www.nihs.go.jp/hse/food-info/mhlw/news/050812/050812-6.pdf"/>
  </hyperlinks>
  <printOptions/>
  <pageMargins left="0.75" right="0.75" top="1" bottom="1" header="0.512" footer="0.512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30">
      <selection activeCell="B54" sqref="B54"/>
    </sheetView>
  </sheetViews>
  <sheetFormatPr defaultColWidth="9.00390625" defaultRowHeight="16.5" customHeight="1"/>
  <cols>
    <col min="1" max="1" width="18.875" style="0" customWidth="1"/>
    <col min="2" max="3" width="13.50390625" style="0" customWidth="1"/>
  </cols>
  <sheetData>
    <row r="1" ht="16.5" customHeight="1">
      <c r="A1" t="s">
        <v>68</v>
      </c>
    </row>
    <row r="2" ht="16.5" customHeight="1">
      <c r="A2" t="s">
        <v>67</v>
      </c>
    </row>
    <row r="3" ht="16.5" customHeight="1">
      <c r="A3" t="s">
        <v>52</v>
      </c>
    </row>
    <row r="4" ht="16.5" customHeight="1">
      <c r="A4" t="s">
        <v>53</v>
      </c>
    </row>
    <row r="5" ht="16.5" customHeight="1">
      <c r="A5" t="s">
        <v>54</v>
      </c>
    </row>
    <row r="6" ht="16.5" customHeight="1">
      <c r="A6" t="s">
        <v>55</v>
      </c>
    </row>
    <row r="7" ht="16.5" customHeight="1">
      <c r="A7" t="s">
        <v>56</v>
      </c>
    </row>
    <row r="8" ht="16.5" customHeight="1">
      <c r="A8" t="s">
        <v>57</v>
      </c>
    </row>
    <row r="9" ht="16.5" customHeight="1">
      <c r="A9" t="s">
        <v>58</v>
      </c>
    </row>
    <row r="10" ht="16.5" customHeight="1">
      <c r="A10" t="s">
        <v>59</v>
      </c>
    </row>
    <row r="11" ht="16.5" customHeight="1">
      <c r="A11" t="s">
        <v>60</v>
      </c>
    </row>
    <row r="12" ht="16.5" customHeight="1">
      <c r="A12" t="s">
        <v>61</v>
      </c>
    </row>
    <row r="13" ht="16.5" customHeight="1">
      <c r="A13" t="s">
        <v>62</v>
      </c>
    </row>
    <row r="14" ht="16.5" customHeight="1">
      <c r="A14" t="s">
        <v>63</v>
      </c>
    </row>
    <row r="15" ht="16.5" customHeight="1">
      <c r="A15" t="s">
        <v>64</v>
      </c>
    </row>
    <row r="16" ht="16.5" customHeight="1">
      <c r="A16" t="s">
        <v>65</v>
      </c>
    </row>
    <row r="19" spans="1:4" ht="16.5" customHeight="1">
      <c r="A19" t="s">
        <v>66</v>
      </c>
      <c r="B19" t="s">
        <v>69</v>
      </c>
      <c r="D19" t="s">
        <v>70</v>
      </c>
    </row>
    <row r="20" spans="1:5" ht="16.5" customHeight="1">
      <c r="A20" s="22" t="s">
        <v>71</v>
      </c>
      <c r="B20" s="23">
        <v>0</v>
      </c>
      <c r="C20" s="23"/>
      <c r="D20" s="23">
        <v>0</v>
      </c>
      <c r="E20" s="23">
        <v>0</v>
      </c>
    </row>
    <row r="21" spans="1:5" ht="16.5" customHeight="1">
      <c r="A21" s="22" t="s">
        <v>72</v>
      </c>
      <c r="B21" s="23">
        <v>0.01</v>
      </c>
      <c r="C21" s="23"/>
      <c r="D21" s="23">
        <v>0.01</v>
      </c>
      <c r="E21" s="23">
        <v>0.03</v>
      </c>
    </row>
    <row r="22" spans="1:5" ht="16.5" customHeight="1">
      <c r="A22" s="22" t="s">
        <v>73</v>
      </c>
      <c r="B22" s="23">
        <v>0.06</v>
      </c>
      <c r="C22" s="23"/>
      <c r="D22" s="23">
        <v>0.03</v>
      </c>
      <c r="E22" s="23">
        <v>0.29</v>
      </c>
    </row>
    <row r="23" spans="1:5" ht="16.5" customHeight="1">
      <c r="A23" s="22" t="s">
        <v>74</v>
      </c>
      <c r="B23" s="23">
        <v>0.05</v>
      </c>
      <c r="C23" s="23"/>
      <c r="D23" s="23">
        <v>0.02</v>
      </c>
      <c r="E23" s="23">
        <v>0.21</v>
      </c>
    </row>
    <row r="24" spans="1:5" ht="16.5" customHeight="1">
      <c r="A24" s="22" t="s">
        <v>75</v>
      </c>
      <c r="B24" s="23">
        <v>0</v>
      </c>
      <c r="C24" s="23"/>
      <c r="D24" s="23">
        <v>0</v>
      </c>
      <c r="E24" s="23">
        <v>0</v>
      </c>
    </row>
    <row r="25" spans="1:5" ht="16.5" customHeight="1">
      <c r="A25" s="22" t="s">
        <v>76</v>
      </c>
      <c r="B25" s="23">
        <v>0</v>
      </c>
      <c r="C25" s="23"/>
      <c r="D25" s="23">
        <v>0</v>
      </c>
      <c r="E25" s="23">
        <v>0</v>
      </c>
    </row>
    <row r="26" spans="1:5" ht="16.5" customHeight="1">
      <c r="A26" s="22" t="s">
        <v>77</v>
      </c>
      <c r="B26" s="23">
        <v>0.07</v>
      </c>
      <c r="C26" s="23"/>
      <c r="D26" s="23">
        <v>0.04</v>
      </c>
      <c r="E26" s="23">
        <v>0.3</v>
      </c>
    </row>
    <row r="27" spans="1:5" ht="16.5" customHeight="1">
      <c r="A27" s="22" t="s">
        <v>78</v>
      </c>
      <c r="B27" s="23">
        <v>0.02</v>
      </c>
      <c r="C27" s="23"/>
      <c r="D27" s="23">
        <v>0.03</v>
      </c>
      <c r="E27" s="23">
        <v>0.09</v>
      </c>
    </row>
    <row r="28" spans="1:5" ht="16.5" customHeight="1">
      <c r="A28" s="22" t="s">
        <v>79</v>
      </c>
      <c r="B28" s="23">
        <v>0</v>
      </c>
      <c r="C28" s="23"/>
      <c r="D28" s="23">
        <v>0</v>
      </c>
      <c r="E28" s="23">
        <v>0</v>
      </c>
    </row>
    <row r="29" spans="1:5" ht="16.5" customHeight="1">
      <c r="A29" s="22" t="s">
        <v>80</v>
      </c>
      <c r="B29" s="24">
        <v>17.23</v>
      </c>
      <c r="C29" s="24"/>
      <c r="D29" s="24">
        <v>6.77</v>
      </c>
      <c r="E29" s="24">
        <v>78.46</v>
      </c>
    </row>
    <row r="30" spans="1:5" ht="16.5" customHeight="1">
      <c r="A30" s="22" t="s">
        <v>81</v>
      </c>
      <c r="B30" s="23">
        <v>3.48</v>
      </c>
      <c r="C30" s="23"/>
      <c r="D30" s="23">
        <v>4.75</v>
      </c>
      <c r="E30" s="23">
        <v>15.84</v>
      </c>
    </row>
    <row r="31" spans="1:5" ht="16.5" customHeight="1">
      <c r="A31" s="22" t="s">
        <v>82</v>
      </c>
      <c r="B31" s="23">
        <v>0.96</v>
      </c>
      <c r="C31" s="23"/>
      <c r="D31" s="23">
        <v>1.48</v>
      </c>
      <c r="E31" s="23">
        <v>4.39</v>
      </c>
    </row>
    <row r="32" spans="1:5" ht="16.5" customHeight="1">
      <c r="A32" s="22" t="s">
        <v>83</v>
      </c>
      <c r="B32" s="23">
        <v>0.08</v>
      </c>
      <c r="C32" s="23"/>
      <c r="D32" s="23">
        <v>0.06</v>
      </c>
      <c r="E32" s="23">
        <v>0.38</v>
      </c>
    </row>
    <row r="33" spans="1:5" ht="16.5" customHeight="1">
      <c r="A33" s="22" t="s">
        <v>84</v>
      </c>
      <c r="B33" s="23">
        <v>0</v>
      </c>
      <c r="C33" s="23"/>
      <c r="D33" s="23">
        <v>0</v>
      </c>
      <c r="E33" s="23">
        <v>0</v>
      </c>
    </row>
    <row r="34" spans="1:8" ht="16.5" customHeight="1">
      <c r="A34" s="22" t="s">
        <v>85</v>
      </c>
      <c r="B34" s="23">
        <v>21.96</v>
      </c>
      <c r="C34" s="23"/>
      <c r="D34" s="23">
        <v>10.47</v>
      </c>
      <c r="E34" s="24">
        <v>100</v>
      </c>
      <c r="F34">
        <f>SUM(B20:B33)</f>
        <v>21.96</v>
      </c>
      <c r="G34">
        <f>SUM(D20:D33)</f>
        <v>13.19</v>
      </c>
      <c r="H34">
        <f>SUM(E20:E33)</f>
        <v>99.99</v>
      </c>
    </row>
    <row r="35" spans="1:5" ht="16.5" customHeight="1">
      <c r="A35" s="25" t="s">
        <v>86</v>
      </c>
      <c r="B35" s="23">
        <v>0.44</v>
      </c>
      <c r="C35" s="23"/>
      <c r="D35" s="23">
        <v>0.21</v>
      </c>
      <c r="E35" s="23"/>
    </row>
    <row r="36" spans="1:5" ht="16.5" customHeight="1">
      <c r="A36" s="27" t="s">
        <v>90</v>
      </c>
      <c r="B36" s="28"/>
      <c r="C36" s="28"/>
      <c r="D36" s="28"/>
      <c r="E36" s="28"/>
    </row>
    <row r="37" spans="1:5" ht="16.5" customHeight="1">
      <c r="A37" s="29" t="s">
        <v>91</v>
      </c>
      <c r="B37" s="28"/>
      <c r="C37" s="28"/>
      <c r="D37" s="28"/>
      <c r="E37" s="28"/>
    </row>
    <row r="38" spans="1:4" ht="16.5" customHeight="1">
      <c r="A38" t="s">
        <v>66</v>
      </c>
      <c r="B38" t="s">
        <v>88</v>
      </c>
      <c r="C38" t="s">
        <v>89</v>
      </c>
      <c r="D38" t="s">
        <v>87</v>
      </c>
    </row>
    <row r="39" spans="1:4" ht="16.5" customHeight="1">
      <c r="A39" s="22" t="s">
        <v>71</v>
      </c>
      <c r="B39" s="23">
        <v>149</v>
      </c>
      <c r="C39" s="23">
        <v>0</v>
      </c>
      <c r="D39" s="23">
        <v>0</v>
      </c>
    </row>
    <row r="40" spans="1:4" ht="16.5" customHeight="1">
      <c r="A40" s="22" t="s">
        <v>72</v>
      </c>
      <c r="B40" s="23">
        <v>166.2</v>
      </c>
      <c r="C40" s="26">
        <f>D40/B40</f>
        <v>0.00030084235860409147</v>
      </c>
      <c r="D40" s="23">
        <v>0.05</v>
      </c>
    </row>
    <row r="41" spans="1:4" ht="16.5" customHeight="1">
      <c r="A41" s="22" t="s">
        <v>73</v>
      </c>
      <c r="B41" s="23">
        <v>34.8</v>
      </c>
      <c r="C41" s="26">
        <f aca="true" t="shared" si="0" ref="C41:C52">D41/B41/50</f>
        <v>6.896551724137931E-05</v>
      </c>
      <c r="D41" s="23">
        <v>0.12</v>
      </c>
    </row>
    <row r="42" spans="1:4" ht="16.5" customHeight="1">
      <c r="A42" s="22" t="s">
        <v>74</v>
      </c>
      <c r="B42" s="23">
        <v>18.9</v>
      </c>
      <c r="C42" s="26">
        <f t="shared" si="0"/>
        <v>7.407407407407409E-05</v>
      </c>
      <c r="D42" s="23">
        <v>0.07</v>
      </c>
    </row>
    <row r="43" spans="1:4" ht="16.5" customHeight="1">
      <c r="A43" s="22" t="s">
        <v>75</v>
      </c>
      <c r="B43" s="23">
        <v>62.8</v>
      </c>
      <c r="C43" s="26">
        <f t="shared" si="0"/>
        <v>0</v>
      </c>
      <c r="D43" s="23">
        <v>0</v>
      </c>
    </row>
    <row r="44" spans="1:4" ht="16.5" customHeight="1">
      <c r="A44" s="22" t="s">
        <v>76</v>
      </c>
      <c r="B44" s="23">
        <v>113.8</v>
      </c>
      <c r="C44" s="26">
        <f t="shared" si="0"/>
        <v>0</v>
      </c>
      <c r="D44" s="23">
        <v>0</v>
      </c>
    </row>
    <row r="45" spans="1:4" ht="16.5" customHeight="1">
      <c r="A45" s="22" t="s">
        <v>77</v>
      </c>
      <c r="B45" s="23">
        <v>98.8</v>
      </c>
      <c r="C45" s="26">
        <f t="shared" si="0"/>
        <v>4.048582995951417E-06</v>
      </c>
      <c r="D45" s="23">
        <v>0.02</v>
      </c>
    </row>
    <row r="46" spans="1:4" ht="16.5" customHeight="1">
      <c r="A46" s="22" t="s">
        <v>78</v>
      </c>
      <c r="B46" s="23">
        <v>194.8</v>
      </c>
      <c r="C46" s="26">
        <f t="shared" si="0"/>
        <v>0</v>
      </c>
      <c r="D46" s="23">
        <v>0</v>
      </c>
    </row>
    <row r="47" spans="1:4" ht="16.5" customHeight="1">
      <c r="A47" s="22" t="s">
        <v>79</v>
      </c>
      <c r="B47" s="23">
        <v>185.5</v>
      </c>
      <c r="C47" s="26">
        <f t="shared" si="0"/>
        <v>0</v>
      </c>
      <c r="D47" s="23">
        <v>0</v>
      </c>
    </row>
    <row r="48" spans="1:4" ht="16.5" customHeight="1">
      <c r="A48" s="22" t="s">
        <v>80</v>
      </c>
      <c r="B48" s="23">
        <v>87.2</v>
      </c>
      <c r="C48" s="26">
        <f t="shared" si="0"/>
        <v>0.011905963302752292</v>
      </c>
      <c r="D48" s="23">
        <v>51.91</v>
      </c>
    </row>
    <row r="49" spans="1:4" ht="16.5" customHeight="1">
      <c r="A49" s="22" t="s">
        <v>81</v>
      </c>
      <c r="B49" s="23">
        <v>126.8</v>
      </c>
      <c r="C49" s="26">
        <f t="shared" si="0"/>
        <v>0.0011182965299684543</v>
      </c>
      <c r="D49" s="23">
        <v>7.09</v>
      </c>
    </row>
    <row r="50" spans="1:4" ht="16.5" customHeight="1">
      <c r="A50" s="22" t="s">
        <v>82</v>
      </c>
      <c r="B50" s="23">
        <v>148.1</v>
      </c>
      <c r="C50" s="26">
        <f t="shared" si="0"/>
        <v>0.00044159351789331536</v>
      </c>
      <c r="D50" s="23">
        <v>3.27</v>
      </c>
    </row>
    <row r="51" spans="1:4" ht="16.5" customHeight="1">
      <c r="A51" s="22" t="s">
        <v>83</v>
      </c>
      <c r="B51" s="23">
        <v>6.9</v>
      </c>
      <c r="C51" s="26">
        <f t="shared" si="0"/>
        <v>0.000463768115942029</v>
      </c>
      <c r="D51" s="23">
        <v>0.16</v>
      </c>
    </row>
    <row r="52" spans="1:4" ht="16.5" customHeight="1">
      <c r="A52" s="22" t="s">
        <v>84</v>
      </c>
      <c r="B52" s="23">
        <v>600</v>
      </c>
      <c r="C52" s="26">
        <f t="shared" si="0"/>
        <v>3.3333333333333335E-07</v>
      </c>
      <c r="D52" s="23">
        <v>0.01</v>
      </c>
    </row>
    <row r="53" spans="1:4" ht="16.5" customHeight="1">
      <c r="A53" s="22" t="s">
        <v>85</v>
      </c>
      <c r="D53">
        <f>SUM(D39:D52)</f>
        <v>62.69999999999999</v>
      </c>
    </row>
    <row r="54" ht="16.5" customHeight="1">
      <c r="A54" s="25" t="s">
        <v>86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4" width="9.00390625" style="15" customWidth="1"/>
    <col min="5" max="5" width="8.875" style="17" customWidth="1"/>
    <col min="6" max="6" width="8.625" style="18" customWidth="1"/>
    <col min="7" max="7" width="8.875" style="17" customWidth="1"/>
    <col min="8" max="8" width="9.00390625" style="18" customWidth="1"/>
    <col min="9" max="16384" width="9.00390625" style="15" customWidth="1"/>
  </cols>
  <sheetData>
    <row r="1" spans="3:8" ht="13.5">
      <c r="C1" s="16" t="s">
        <v>44</v>
      </c>
      <c r="D1" s="16"/>
      <c r="E1" s="17" t="s">
        <v>45</v>
      </c>
      <c r="F1" s="18" t="s">
        <v>46</v>
      </c>
      <c r="G1" s="17" t="s">
        <v>47</v>
      </c>
      <c r="H1" s="18" t="s">
        <v>47</v>
      </c>
    </row>
    <row r="2" spans="1:8" ht="13.5">
      <c r="A2" s="15">
        <v>0.2</v>
      </c>
      <c r="C2" s="15">
        <f>VARP(C5:C9)</f>
        <v>0.06527783999999989</v>
      </c>
      <c r="E2" s="19">
        <v>0.5051887233092912</v>
      </c>
      <c r="F2" s="20">
        <v>0.1054888368071375</v>
      </c>
      <c r="G2" s="15">
        <f>-5*LN(G3/5)+12</f>
        <v>54.66328699558508</v>
      </c>
      <c r="H2" s="15">
        <f>-5*LN(H3/5)+12</f>
        <v>37.11066063912793</v>
      </c>
    </row>
    <row r="3" spans="1:8" ht="13.5">
      <c r="A3" s="15">
        <f>G3+H3</f>
        <v>0.033936954826511635</v>
      </c>
      <c r="E3" s="19">
        <v>0.3840389564328747</v>
      </c>
      <c r="F3" s="20">
        <v>0.8564900616794102</v>
      </c>
      <c r="G3" s="17">
        <f>SUM(G5:G9)</f>
        <v>0.0009846547491784365</v>
      </c>
      <c r="H3" s="18">
        <f>SUM(H5:H9)</f>
        <v>0.0329523000773332</v>
      </c>
    </row>
    <row r="4" spans="1:6" ht="13.5">
      <c r="A4" s="16" t="s">
        <v>48</v>
      </c>
      <c r="B4" s="16" t="s">
        <v>49</v>
      </c>
      <c r="C4" s="16" t="s">
        <v>50</v>
      </c>
      <c r="D4" s="16" t="s">
        <v>51</v>
      </c>
      <c r="E4" s="19">
        <v>-2.1685992401278558</v>
      </c>
      <c r="F4" s="18">
        <v>0</v>
      </c>
    </row>
    <row r="5" spans="1:8" ht="13.5">
      <c r="A5" s="15">
        <v>-1</v>
      </c>
      <c r="B5" s="21">
        <f aca="true" t="shared" si="0" ref="B5:B34">10^A5</f>
        <v>0.1</v>
      </c>
      <c r="C5" s="21">
        <v>-0.82</v>
      </c>
      <c r="D5" s="21">
        <f>10^C5</f>
        <v>0.1513561248436208</v>
      </c>
      <c r="E5" s="17">
        <f aca="true" t="shared" si="1" ref="E5:E34">IF(A5&gt;E$4,-E$2-E$3/(A5-E$4),-15)</f>
        <v>-0.8338205957644345</v>
      </c>
      <c r="F5" s="18">
        <f aca="true" t="shared" si="2" ref="F5:F34">F$2+F$3*A5</f>
        <v>-0.7510012248722727</v>
      </c>
      <c r="G5" s="17">
        <f aca="true" t="shared" si="3" ref="G5:H9">(($C5-E5))^2</f>
        <v>0.00019100886728390504</v>
      </c>
      <c r="H5" s="18">
        <f t="shared" si="3"/>
        <v>0.00476083096912667</v>
      </c>
    </row>
    <row r="6" spans="1:8" ht="13.5">
      <c r="A6" s="15">
        <f aca="true" t="shared" si="4" ref="A6:A34">A5-A$2</f>
        <v>-1.2</v>
      </c>
      <c r="B6" s="21">
        <f t="shared" si="0"/>
        <v>0.06309573444801932</v>
      </c>
      <c r="C6" s="21">
        <v>-0.91</v>
      </c>
      <c r="D6" s="21">
        <f>10^C6</f>
        <v>0.12302687708123815</v>
      </c>
      <c r="E6" s="17">
        <f t="shared" si="1"/>
        <v>-0.9016777360223109</v>
      </c>
      <c r="F6" s="18">
        <f t="shared" si="2"/>
        <v>-0.9222992372081548</v>
      </c>
      <c r="G6" s="17">
        <f t="shared" si="3"/>
        <v>6.926007771434148E-05</v>
      </c>
      <c r="H6" s="18">
        <f t="shared" si="3"/>
        <v>0.00015127123590245786</v>
      </c>
    </row>
    <row r="7" spans="1:8" ht="13.5">
      <c r="A7" s="15">
        <f t="shared" si="4"/>
        <v>-1.4</v>
      </c>
      <c r="B7" s="21">
        <f t="shared" si="0"/>
        <v>0.03981071705534973</v>
      </c>
      <c r="C7" s="21">
        <v>-1.025</v>
      </c>
      <c r="D7" s="21">
        <f>10^C7</f>
        <v>0.09440608762859233</v>
      </c>
      <c r="E7" s="17">
        <f t="shared" si="1"/>
        <v>-1.0048495821581631</v>
      </c>
      <c r="F7" s="18">
        <f t="shared" si="2"/>
        <v>-1.093597249544037</v>
      </c>
      <c r="G7" s="17">
        <f t="shared" si="3"/>
        <v>0.0004060393392006148</v>
      </c>
      <c r="H7" s="18">
        <f t="shared" si="3"/>
        <v>0.004705582645006885</v>
      </c>
    </row>
    <row r="8" spans="1:8" ht="13.5">
      <c r="A8" s="15">
        <f t="shared" si="4"/>
        <v>-1.5999999999999999</v>
      </c>
      <c r="B8" s="21">
        <f t="shared" si="0"/>
        <v>0.025118864315095794</v>
      </c>
      <c r="C8" s="21">
        <v>-1.163</v>
      </c>
      <c r="D8" s="21">
        <f>10^C8</f>
        <v>0.0687068440014232</v>
      </c>
      <c r="E8" s="17">
        <f t="shared" si="1"/>
        <v>-1.1806010864114986</v>
      </c>
      <c r="F8" s="18">
        <f t="shared" si="2"/>
        <v>-1.2648952618799187</v>
      </c>
      <c r="G8" s="17">
        <f t="shared" si="3"/>
        <v>0.0003097982428650407</v>
      </c>
      <c r="H8" s="18">
        <f t="shared" si="3"/>
        <v>0.010382644393577214</v>
      </c>
    </row>
    <row r="9" spans="1:8" ht="13.5">
      <c r="A9" s="15">
        <f t="shared" si="4"/>
        <v>-1.7999999999999998</v>
      </c>
      <c r="B9" s="21">
        <f t="shared" si="0"/>
        <v>0.015848931924611138</v>
      </c>
      <c r="C9" s="21">
        <v>-1.55</v>
      </c>
      <c r="D9" s="21">
        <f>10^C9</f>
        <v>0.028183829312644532</v>
      </c>
      <c r="E9" s="17">
        <f t="shared" si="1"/>
        <v>-1.547076265724363</v>
      </c>
      <c r="F9" s="18">
        <f t="shared" si="2"/>
        <v>-1.4361932742158006</v>
      </c>
      <c r="G9" s="17">
        <f t="shared" si="3"/>
        <v>8.54822211453443E-06</v>
      </c>
      <c r="H9" s="18">
        <f t="shared" si="3"/>
        <v>0.012951970833719975</v>
      </c>
    </row>
    <row r="10" spans="1:6" ht="13.5">
      <c r="A10" s="15">
        <f t="shared" si="4"/>
        <v>-1.9999999999999998</v>
      </c>
      <c r="B10" s="15">
        <f t="shared" si="0"/>
        <v>0.010000000000000004</v>
      </c>
      <c r="E10" s="17">
        <f t="shared" si="1"/>
        <v>-2.7830101188365877</v>
      </c>
      <c r="F10" s="18">
        <f t="shared" si="2"/>
        <v>-1.6074912865516828</v>
      </c>
    </row>
    <row r="11" spans="1:6" ht="13.5">
      <c r="A11" s="15">
        <f t="shared" si="4"/>
        <v>-2.1999999999999997</v>
      </c>
      <c r="B11" s="15">
        <f t="shared" si="0"/>
        <v>0.006309573444801931</v>
      </c>
      <c r="E11" s="17">
        <f t="shared" si="1"/>
        <v>-15</v>
      </c>
      <c r="F11" s="18">
        <f t="shared" si="2"/>
        <v>-1.7787892988875647</v>
      </c>
    </row>
    <row r="12" spans="1:6" ht="13.5">
      <c r="A12" s="15">
        <f t="shared" si="4"/>
        <v>-2.4</v>
      </c>
      <c r="B12" s="15">
        <f t="shared" si="0"/>
        <v>0.003981071705534972</v>
      </c>
      <c r="E12" s="17">
        <f t="shared" si="1"/>
        <v>-15</v>
      </c>
      <c r="F12" s="18">
        <f t="shared" si="2"/>
        <v>-1.950087311223447</v>
      </c>
    </row>
    <row r="13" spans="1:6" ht="13.5">
      <c r="A13" s="15">
        <f t="shared" si="4"/>
        <v>-2.6</v>
      </c>
      <c r="B13" s="15">
        <f t="shared" si="0"/>
        <v>0.0025118864315095777</v>
      </c>
      <c r="E13" s="17">
        <f t="shared" si="1"/>
        <v>-15</v>
      </c>
      <c r="F13" s="18">
        <f t="shared" si="2"/>
        <v>-2.121385323559329</v>
      </c>
    </row>
    <row r="14" spans="1:6" ht="13.5">
      <c r="A14" s="15">
        <f t="shared" si="4"/>
        <v>-2.8000000000000003</v>
      </c>
      <c r="B14" s="15">
        <f t="shared" si="0"/>
        <v>0.0015848931924611121</v>
      </c>
      <c r="E14" s="17">
        <f t="shared" si="1"/>
        <v>-15</v>
      </c>
      <c r="F14" s="18">
        <f t="shared" si="2"/>
        <v>-2.2926833358952114</v>
      </c>
    </row>
    <row r="15" spans="1:6" ht="13.5">
      <c r="A15" s="15">
        <f t="shared" si="4"/>
        <v>-3.0000000000000004</v>
      </c>
      <c r="B15" s="15">
        <f t="shared" si="0"/>
        <v>0.0009999999999999985</v>
      </c>
      <c r="E15" s="17">
        <f t="shared" si="1"/>
        <v>-15</v>
      </c>
      <c r="F15" s="18">
        <f t="shared" si="2"/>
        <v>-2.4639813482310933</v>
      </c>
    </row>
    <row r="16" spans="1:6" ht="13.5">
      <c r="A16" s="15">
        <f t="shared" si="4"/>
        <v>-3.2000000000000006</v>
      </c>
      <c r="B16" s="15">
        <f t="shared" si="0"/>
        <v>0.0006309573444801918</v>
      </c>
      <c r="E16" s="17">
        <f t="shared" si="1"/>
        <v>-15</v>
      </c>
      <c r="F16" s="18">
        <f t="shared" si="2"/>
        <v>-2.6352793605669755</v>
      </c>
    </row>
    <row r="17" spans="1:6" ht="13.5">
      <c r="A17" s="15">
        <f t="shared" si="4"/>
        <v>-3.400000000000001</v>
      </c>
      <c r="B17" s="15">
        <f t="shared" si="0"/>
        <v>0.0003981071705534964</v>
      </c>
      <c r="E17" s="17">
        <f t="shared" si="1"/>
        <v>-15</v>
      </c>
      <c r="F17" s="18">
        <f t="shared" si="2"/>
        <v>-2.806577372902858</v>
      </c>
    </row>
    <row r="18" spans="1:6" ht="13.5">
      <c r="A18" s="15">
        <f t="shared" si="4"/>
        <v>-3.600000000000001</v>
      </c>
      <c r="B18" s="15">
        <f t="shared" si="0"/>
        <v>0.00025118864315095725</v>
      </c>
      <c r="E18" s="17">
        <f t="shared" si="1"/>
        <v>-15</v>
      </c>
      <c r="F18" s="18">
        <f t="shared" si="2"/>
        <v>-2.97787538523874</v>
      </c>
    </row>
    <row r="19" spans="1:6" ht="13.5">
      <c r="A19" s="15">
        <f t="shared" si="4"/>
        <v>-3.800000000000001</v>
      </c>
      <c r="B19" s="15">
        <f t="shared" si="0"/>
        <v>0.0001584893192461109</v>
      </c>
      <c r="E19" s="17">
        <f t="shared" si="1"/>
        <v>-15</v>
      </c>
      <c r="F19" s="18">
        <f t="shared" si="2"/>
        <v>-3.1491733975746223</v>
      </c>
    </row>
    <row r="20" spans="1:6" ht="13.5">
      <c r="A20" s="15">
        <f t="shared" si="4"/>
        <v>-4.000000000000001</v>
      </c>
      <c r="B20" s="15">
        <f t="shared" si="0"/>
        <v>9.999999999999973E-05</v>
      </c>
      <c r="E20" s="17">
        <f t="shared" si="1"/>
        <v>-15</v>
      </c>
      <c r="F20" s="18">
        <f t="shared" si="2"/>
        <v>-3.320471409910504</v>
      </c>
    </row>
    <row r="21" spans="1:6" ht="13.5">
      <c r="A21" s="15">
        <f t="shared" si="4"/>
        <v>-4.200000000000001</v>
      </c>
      <c r="B21" s="15">
        <f t="shared" si="0"/>
        <v>6.309573444801916E-05</v>
      </c>
      <c r="E21" s="17">
        <f t="shared" si="1"/>
        <v>-15</v>
      </c>
      <c r="F21" s="18">
        <f t="shared" si="2"/>
        <v>-3.4917694222463864</v>
      </c>
    </row>
    <row r="22" spans="1:6" ht="13.5">
      <c r="A22" s="15">
        <f t="shared" si="4"/>
        <v>-4.400000000000001</v>
      </c>
      <c r="B22" s="15">
        <f t="shared" si="0"/>
        <v>3.981071705534956E-05</v>
      </c>
      <c r="E22" s="17">
        <f t="shared" si="1"/>
        <v>-15</v>
      </c>
      <c r="F22" s="18">
        <f t="shared" si="2"/>
        <v>-3.6630674345822682</v>
      </c>
    </row>
    <row r="23" spans="1:6" ht="13.5">
      <c r="A23" s="15">
        <f t="shared" si="4"/>
        <v>-4.600000000000001</v>
      </c>
      <c r="B23" s="15">
        <f t="shared" si="0"/>
        <v>2.51188643150957E-05</v>
      </c>
      <c r="E23" s="17">
        <f t="shared" si="1"/>
        <v>-15</v>
      </c>
      <c r="F23" s="18">
        <f t="shared" si="2"/>
        <v>-3.8343654469181505</v>
      </c>
    </row>
    <row r="24" spans="1:6" ht="13.5">
      <c r="A24" s="15">
        <f t="shared" si="4"/>
        <v>-4.800000000000002</v>
      </c>
      <c r="B24" s="15">
        <f t="shared" si="0"/>
        <v>1.5848931924611073E-05</v>
      </c>
      <c r="E24" s="17">
        <f t="shared" si="1"/>
        <v>-15</v>
      </c>
      <c r="F24" s="18">
        <f t="shared" si="2"/>
        <v>-4.005663459254033</v>
      </c>
    </row>
    <row r="25" spans="1:6" ht="13.5">
      <c r="A25" s="15">
        <f t="shared" si="4"/>
        <v>-5.000000000000002</v>
      </c>
      <c r="B25" s="15">
        <f t="shared" si="0"/>
        <v>9.999999999999945E-06</v>
      </c>
      <c r="E25" s="17">
        <f t="shared" si="1"/>
        <v>-15</v>
      </c>
      <c r="F25" s="18">
        <f t="shared" si="2"/>
        <v>-4.176961471589915</v>
      </c>
    </row>
    <row r="26" spans="1:6" ht="13.5">
      <c r="A26" s="15">
        <f t="shared" si="4"/>
        <v>-5.200000000000002</v>
      </c>
      <c r="B26" s="15">
        <f t="shared" si="0"/>
        <v>6.309573444801899E-06</v>
      </c>
      <c r="E26" s="17">
        <f t="shared" si="1"/>
        <v>-15</v>
      </c>
      <c r="F26" s="18">
        <f t="shared" si="2"/>
        <v>-4.348259483925797</v>
      </c>
    </row>
    <row r="27" spans="1:6" ht="13.5">
      <c r="A27" s="15">
        <f t="shared" si="4"/>
        <v>-5.400000000000002</v>
      </c>
      <c r="B27" s="15">
        <f t="shared" si="0"/>
        <v>3.981071705534951E-06</v>
      </c>
      <c r="E27" s="17">
        <f t="shared" si="1"/>
        <v>-15</v>
      </c>
      <c r="F27" s="18">
        <f t="shared" si="2"/>
        <v>-4.51955749626168</v>
      </c>
    </row>
    <row r="28" spans="1:6" ht="13.5">
      <c r="A28" s="15">
        <f t="shared" si="4"/>
        <v>-5.600000000000002</v>
      </c>
      <c r="B28" s="15">
        <f t="shared" si="0"/>
        <v>2.511886431509563E-06</v>
      </c>
      <c r="E28" s="17">
        <f t="shared" si="1"/>
        <v>-15</v>
      </c>
      <c r="F28" s="18">
        <f t="shared" si="2"/>
        <v>-4.690855508597561</v>
      </c>
    </row>
    <row r="29" spans="1:6" ht="13.5">
      <c r="A29" s="15">
        <f t="shared" si="4"/>
        <v>-5.8000000000000025</v>
      </c>
      <c r="B29" s="15">
        <f t="shared" si="0"/>
        <v>1.5848931924611026E-06</v>
      </c>
      <c r="E29" s="17">
        <f t="shared" si="1"/>
        <v>-15</v>
      </c>
      <c r="F29" s="18">
        <f t="shared" si="2"/>
        <v>-4.862153520933444</v>
      </c>
    </row>
    <row r="30" spans="1:6" ht="13.5">
      <c r="A30" s="15">
        <f t="shared" si="4"/>
        <v>-6.000000000000003</v>
      </c>
      <c r="B30" s="15">
        <f t="shared" si="0"/>
        <v>9.999999999999934E-07</v>
      </c>
      <c r="E30" s="17">
        <f t="shared" si="1"/>
        <v>-15</v>
      </c>
      <c r="F30" s="18">
        <f t="shared" si="2"/>
        <v>-5.033451533269326</v>
      </c>
    </row>
    <row r="31" spans="1:6" ht="13.5">
      <c r="A31" s="15">
        <f t="shared" si="4"/>
        <v>-6.200000000000003</v>
      </c>
      <c r="B31" s="15">
        <f t="shared" si="0"/>
        <v>6.309573444801881E-07</v>
      </c>
      <c r="E31" s="17">
        <f t="shared" si="1"/>
        <v>-15</v>
      </c>
      <c r="F31" s="18">
        <f t="shared" si="2"/>
        <v>-5.204749545605208</v>
      </c>
    </row>
    <row r="32" spans="1:6" ht="13.5">
      <c r="A32" s="15">
        <f t="shared" si="4"/>
        <v>-6.400000000000003</v>
      </c>
      <c r="B32" s="15">
        <f t="shared" si="0"/>
        <v>3.98107170553494E-07</v>
      </c>
      <c r="E32" s="17">
        <f t="shared" si="1"/>
        <v>-15</v>
      </c>
      <c r="F32" s="18">
        <f t="shared" si="2"/>
        <v>-5.3760475579410905</v>
      </c>
    </row>
    <row r="33" spans="1:6" ht="13.5">
      <c r="A33" s="15">
        <f t="shared" si="4"/>
        <v>-6.600000000000003</v>
      </c>
      <c r="B33" s="15">
        <f t="shared" si="0"/>
        <v>2.51188643150956E-07</v>
      </c>
      <c r="E33" s="17">
        <f t="shared" si="1"/>
        <v>-15</v>
      </c>
      <c r="F33" s="18">
        <f t="shared" si="2"/>
        <v>-5.547345570276972</v>
      </c>
    </row>
    <row r="34" spans="1:6" ht="13.5">
      <c r="A34" s="15">
        <f t="shared" si="4"/>
        <v>-6.800000000000003</v>
      </c>
      <c r="B34" s="15">
        <f t="shared" si="0"/>
        <v>1.5848931924610982E-07</v>
      </c>
      <c r="E34" s="17">
        <f t="shared" si="1"/>
        <v>-15</v>
      </c>
      <c r="F34" s="18">
        <f t="shared" si="2"/>
        <v>-5.718643582612855</v>
      </c>
    </row>
  </sheetData>
  <sheetProtection/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4"/>
  <sheetViews>
    <sheetView workbookViewId="0" topLeftCell="A1">
      <selection activeCell="B14" sqref="B14:D24"/>
    </sheetView>
  </sheetViews>
  <sheetFormatPr defaultColWidth="9.00390625" defaultRowHeight="13.5"/>
  <cols>
    <col min="2" max="2" width="9.875" style="0" customWidth="1"/>
    <col min="3" max="4" width="20.75390625" style="0" customWidth="1"/>
    <col min="5" max="5" width="9.875" style="0" customWidth="1"/>
  </cols>
  <sheetData>
    <row r="1" spans="3:4" ht="13.5">
      <c r="C1">
        <v>0.97</v>
      </c>
      <c r="D1">
        <v>0.03</v>
      </c>
    </row>
    <row r="2" spans="3:4" ht="13.5">
      <c r="C2">
        <v>10</v>
      </c>
      <c r="D2">
        <v>100</v>
      </c>
    </row>
    <row r="3" spans="2:3" ht="13.5">
      <c r="B3" s="30"/>
      <c r="C3" s="30">
        <v>411000000000000</v>
      </c>
    </row>
    <row r="4" spans="3:5" ht="13.5">
      <c r="C4" s="30">
        <f>C3*1</f>
        <v>411000000000000</v>
      </c>
      <c r="D4" s="30">
        <f>(C1^C2-C1^D2)/(1-C1)*C4</f>
        <v>9451241179882450</v>
      </c>
      <c r="E4">
        <f>D9/D4</f>
        <v>0.0012418746547682494</v>
      </c>
    </row>
    <row r="6" spans="3:4" ht="13.5">
      <c r="C6">
        <v>0.97</v>
      </c>
      <c r="D6">
        <v>0.03</v>
      </c>
    </row>
    <row r="7" spans="3:4" ht="13.5">
      <c r="C7">
        <v>1</v>
      </c>
      <c r="D7">
        <v>25</v>
      </c>
    </row>
    <row r="8" ht="13.5">
      <c r="C8" s="30">
        <v>700000000000</v>
      </c>
    </row>
    <row r="9" spans="3:4" ht="13.5">
      <c r="C9" s="30">
        <f>C8*1</f>
        <v>700000000000</v>
      </c>
      <c r="D9" s="30">
        <f>(C6^C7-C6^D7)/(1-C6)*C9</f>
        <v>11737256877397.98</v>
      </c>
    </row>
    <row r="14" spans="2:4" ht="13.5">
      <c r="B14" s="49" t="s">
        <v>126</v>
      </c>
      <c r="C14" s="50">
        <v>0.03</v>
      </c>
      <c r="D14" s="50"/>
    </row>
    <row r="15" spans="2:4" ht="13.5">
      <c r="B15" s="49" t="s">
        <v>127</v>
      </c>
      <c r="C15" s="50">
        <v>7000</v>
      </c>
      <c r="D15" s="50" t="s">
        <v>128</v>
      </c>
    </row>
    <row r="16" spans="2:4" ht="13.5">
      <c r="B16" s="49" t="s">
        <v>129</v>
      </c>
      <c r="C16" s="50">
        <v>25</v>
      </c>
      <c r="D16" s="50"/>
    </row>
    <row r="17" spans="2:4" ht="13.5">
      <c r="B17" s="49" t="s">
        <v>130</v>
      </c>
      <c r="C17" s="51">
        <f>C15*(1-(1-C14)^C16)/C14/10000</f>
        <v>12.437256877397992</v>
      </c>
      <c r="D17" s="50" t="s">
        <v>131</v>
      </c>
    </row>
    <row r="18" spans="2:4" ht="13.5">
      <c r="B18" s="49"/>
      <c r="C18" s="50"/>
      <c r="D18" s="50"/>
    </row>
    <row r="19" spans="2:4" ht="13.5">
      <c r="B19" s="49" t="s">
        <v>132</v>
      </c>
      <c r="C19" s="50">
        <v>400</v>
      </c>
      <c r="D19" s="50" t="s">
        <v>131</v>
      </c>
    </row>
    <row r="20" spans="2:4" ht="13.5">
      <c r="B20" s="49" t="s">
        <v>133</v>
      </c>
      <c r="C20" s="52">
        <v>0.0014</v>
      </c>
      <c r="D20" s="50"/>
    </row>
    <row r="21" spans="2:4" ht="13.5">
      <c r="B21" s="49" t="s">
        <v>134</v>
      </c>
      <c r="C21" s="50">
        <f>C19*C20*10000</f>
        <v>5599.999999999999</v>
      </c>
      <c r="D21" s="50" t="s">
        <v>128</v>
      </c>
    </row>
    <row r="22" spans="2:4" ht="13.5">
      <c r="B22" s="49" t="s">
        <v>135</v>
      </c>
      <c r="C22" s="50">
        <v>10</v>
      </c>
      <c r="D22" s="50" t="s">
        <v>136</v>
      </c>
    </row>
    <row r="23" spans="2:4" ht="13.5">
      <c r="B23" s="49" t="s">
        <v>137</v>
      </c>
      <c r="C23" s="50">
        <v>100</v>
      </c>
      <c r="D23" s="50" t="s">
        <v>136</v>
      </c>
    </row>
    <row r="24" spans="2:4" ht="13.5">
      <c r="B24" s="49" t="s">
        <v>130</v>
      </c>
      <c r="C24" s="51">
        <f>C21*((1-C14)^C22-(1-C14)^C23)/C14/10000</f>
        <v>12.877603554097751</v>
      </c>
      <c r="D24" s="50" t="s">
        <v>131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6384" width="9.00390625" style="31" customWidth="1"/>
  </cols>
  <sheetData>
    <row r="1" spans="2:7" ht="13.5">
      <c r="B1" s="31" t="s">
        <v>92</v>
      </c>
      <c r="C1" s="31">
        <f>10^D1</f>
        <v>3.2936770363391488</v>
      </c>
      <c r="D1" s="31">
        <f>STDEV(C7:C18)</f>
        <v>0.5176810118913412</v>
      </c>
      <c r="E1" s="31">
        <f>10^NORMINV(0.05,D2,D1)</f>
        <v>16.227556261021515</v>
      </c>
      <c r="F1" s="31">
        <v>1</v>
      </c>
      <c r="G1" s="31">
        <v>0.05</v>
      </c>
    </row>
    <row r="2" spans="2:7" ht="13.5">
      <c r="B2" s="31" t="s">
        <v>93</v>
      </c>
      <c r="C2" s="31">
        <f>GEOMEAN(B7:B18)</f>
        <v>115.28229495865702</v>
      </c>
      <c r="D2" s="31">
        <f>AVERAGE(C7:C18)</f>
        <v>2.061762613520369</v>
      </c>
      <c r="F2" s="31">
        <v>10000</v>
      </c>
      <c r="G2" s="31">
        <v>0.05</v>
      </c>
    </row>
    <row r="3" spans="2:7" ht="13.5">
      <c r="B3" s="31" t="s">
        <v>94</v>
      </c>
      <c r="C3" s="31" t="s">
        <v>95</v>
      </c>
      <c r="D3" s="31" t="s">
        <v>96</v>
      </c>
      <c r="E3" s="31" t="s">
        <v>97</v>
      </c>
      <c r="G3" s="31">
        <v>13</v>
      </c>
    </row>
    <row r="4" spans="2:5" ht="13.5">
      <c r="B4" s="32">
        <v>1</v>
      </c>
      <c r="C4" s="33">
        <f aca="true" t="shared" si="0" ref="C4:C22">LOG(B4)</f>
        <v>0</v>
      </c>
      <c r="D4" s="33"/>
      <c r="E4" s="33">
        <f aca="true" t="shared" si="1" ref="E4:E23">NORMDIST(C4,$D$2,$D$1,TRUE)</f>
        <v>3.406990951926314E-05</v>
      </c>
    </row>
    <row r="5" spans="2:5" ht="13.5">
      <c r="B5" s="32">
        <v>3</v>
      </c>
      <c r="C5" s="33">
        <f t="shared" si="0"/>
        <v>0.47712125471966244</v>
      </c>
      <c r="D5" s="33"/>
      <c r="E5" s="33">
        <f t="shared" si="1"/>
        <v>0.0011028547149504186</v>
      </c>
    </row>
    <row r="6" spans="2:5" ht="13.5">
      <c r="B6" s="32">
        <v>10</v>
      </c>
      <c r="C6" s="33">
        <f t="shared" si="0"/>
        <v>1</v>
      </c>
      <c r="D6" s="33"/>
      <c r="E6" s="33">
        <f t="shared" si="1"/>
        <v>0.020133580775113957</v>
      </c>
    </row>
    <row r="7" spans="2:7" ht="13.5">
      <c r="B7" s="31">
        <v>16</v>
      </c>
      <c r="C7" s="33">
        <f t="shared" si="0"/>
        <v>1.2041199826559248</v>
      </c>
      <c r="D7" s="33">
        <f aca="true" t="shared" si="2" ref="D7:D18">G7/G$3</f>
        <v>0.07692307692307693</v>
      </c>
      <c r="E7" s="33">
        <f t="shared" si="1"/>
        <v>0.04878997412613617</v>
      </c>
      <c r="G7" s="31">
        <v>1</v>
      </c>
    </row>
    <row r="8" spans="2:7" ht="13.5">
      <c r="B8" s="31">
        <v>25</v>
      </c>
      <c r="C8" s="33">
        <f t="shared" si="0"/>
        <v>1.3979400086720377</v>
      </c>
      <c r="D8" s="33">
        <f t="shared" si="2"/>
        <v>0.15384615384615385</v>
      </c>
      <c r="E8" s="33">
        <f t="shared" si="1"/>
        <v>0.09986863158411396</v>
      </c>
      <c r="G8" s="31">
        <f aca="true" t="shared" si="3" ref="G8:G18">G7+1</f>
        <v>2</v>
      </c>
    </row>
    <row r="9" spans="2:7" ht="13.5">
      <c r="B9" s="31">
        <v>50</v>
      </c>
      <c r="C9" s="33">
        <f t="shared" si="0"/>
        <v>1.6989700043360187</v>
      </c>
      <c r="D9" s="33">
        <f t="shared" si="2"/>
        <v>0.23076923076923078</v>
      </c>
      <c r="E9" s="33">
        <f t="shared" si="1"/>
        <v>0.24171286041770013</v>
      </c>
      <c r="G9" s="31">
        <f t="shared" si="3"/>
        <v>3</v>
      </c>
    </row>
    <row r="10" spans="2:7" ht="13.5">
      <c r="B10" s="34">
        <v>68</v>
      </c>
      <c r="C10" s="33">
        <f t="shared" si="0"/>
        <v>1.8325089127062364</v>
      </c>
      <c r="D10" s="33">
        <f t="shared" si="2"/>
        <v>0.3076923076923077</v>
      </c>
      <c r="E10" s="33">
        <f t="shared" si="1"/>
        <v>0.32893805040183566</v>
      </c>
      <c r="G10" s="31">
        <f t="shared" si="3"/>
        <v>4</v>
      </c>
    </row>
    <row r="11" spans="2:7" ht="13.5">
      <c r="B11" s="31">
        <v>75</v>
      </c>
      <c r="C11" s="33">
        <f t="shared" si="0"/>
        <v>1.8750612633917</v>
      </c>
      <c r="D11" s="33">
        <f t="shared" si="2"/>
        <v>0.38461538461538464</v>
      </c>
      <c r="E11" s="33">
        <f t="shared" si="1"/>
        <v>0.3591807748901036</v>
      </c>
      <c r="G11" s="31">
        <f t="shared" si="3"/>
        <v>5</v>
      </c>
    </row>
    <row r="12" spans="2:7" ht="13.5">
      <c r="B12" s="31">
        <v>78</v>
      </c>
      <c r="C12" s="33">
        <f t="shared" si="0"/>
        <v>1.8920946026904804</v>
      </c>
      <c r="D12" s="33">
        <f t="shared" si="2"/>
        <v>0.46153846153846156</v>
      </c>
      <c r="E12" s="33">
        <f t="shared" si="1"/>
        <v>0.371551764970649</v>
      </c>
      <c r="G12" s="31">
        <f t="shared" si="3"/>
        <v>6</v>
      </c>
    </row>
    <row r="13" spans="2:7" ht="13.5">
      <c r="B13" s="34">
        <v>110</v>
      </c>
      <c r="C13" s="33">
        <f t="shared" si="0"/>
        <v>2.041392685158225</v>
      </c>
      <c r="D13" s="33">
        <f t="shared" si="2"/>
        <v>0.5384615384615384</v>
      </c>
      <c r="E13" s="33">
        <f t="shared" si="1"/>
        <v>0.484306302623844</v>
      </c>
      <c r="G13" s="31">
        <f t="shared" si="3"/>
        <v>7</v>
      </c>
    </row>
    <row r="14" spans="2:7" ht="13.5">
      <c r="B14" s="31">
        <v>140</v>
      </c>
      <c r="C14" s="33">
        <f t="shared" si="0"/>
        <v>2.146128035678238</v>
      </c>
      <c r="D14" s="33">
        <f t="shared" si="2"/>
        <v>0.6153846153846154</v>
      </c>
      <c r="E14" s="33">
        <f t="shared" si="1"/>
        <v>0.564728172030299</v>
      </c>
      <c r="G14" s="31">
        <f t="shared" si="3"/>
        <v>8</v>
      </c>
    </row>
    <row r="15" spans="2:7" ht="13.5">
      <c r="B15" s="31">
        <v>290</v>
      </c>
      <c r="C15" s="33">
        <f t="shared" si="0"/>
        <v>2.462397997898956</v>
      </c>
      <c r="D15" s="33">
        <f t="shared" si="2"/>
        <v>0.6923076923076923</v>
      </c>
      <c r="E15" s="33">
        <f t="shared" si="1"/>
        <v>0.7805062057585246</v>
      </c>
      <c r="G15" s="31">
        <f t="shared" si="3"/>
        <v>9</v>
      </c>
    </row>
    <row r="16" spans="2:7" ht="13.5">
      <c r="B16" s="31">
        <v>440</v>
      </c>
      <c r="C16" s="33">
        <f t="shared" si="0"/>
        <v>2.6434526764861874</v>
      </c>
      <c r="D16" s="33">
        <f t="shared" si="2"/>
        <v>0.7692307692307693</v>
      </c>
      <c r="E16" s="33">
        <f t="shared" si="1"/>
        <v>0.869418327896909</v>
      </c>
      <c r="G16" s="31">
        <f t="shared" si="3"/>
        <v>10</v>
      </c>
    </row>
    <row r="17" spans="2:7" ht="13.5">
      <c r="B17" s="31">
        <v>534</v>
      </c>
      <c r="C17" s="33">
        <f t="shared" si="0"/>
        <v>2.727541257028556</v>
      </c>
      <c r="D17" s="33">
        <f t="shared" si="2"/>
        <v>0.8461538461538461</v>
      </c>
      <c r="E17" s="33">
        <f t="shared" si="1"/>
        <v>0.9007922422212116</v>
      </c>
      <c r="G17" s="31">
        <f t="shared" si="3"/>
        <v>11</v>
      </c>
    </row>
    <row r="18" spans="2:7" ht="13.5">
      <c r="B18" s="31">
        <v>660</v>
      </c>
      <c r="C18" s="33">
        <f t="shared" si="0"/>
        <v>2.8195439355418688</v>
      </c>
      <c r="D18" s="33">
        <f t="shared" si="2"/>
        <v>0.9230769230769231</v>
      </c>
      <c r="E18" s="33">
        <f t="shared" si="1"/>
        <v>0.928375660974369</v>
      </c>
      <c r="G18" s="31">
        <f t="shared" si="3"/>
        <v>12</v>
      </c>
    </row>
    <row r="19" spans="2:5" ht="13.5">
      <c r="B19" s="32">
        <v>1000</v>
      </c>
      <c r="C19" s="33">
        <f t="shared" si="0"/>
        <v>3</v>
      </c>
      <c r="D19" s="33"/>
      <c r="E19" s="33">
        <f t="shared" si="1"/>
        <v>0.9650366483215633</v>
      </c>
    </row>
    <row r="20" spans="2:5" ht="13.5">
      <c r="B20" s="32">
        <v>2000</v>
      </c>
      <c r="C20" s="33">
        <f t="shared" si="0"/>
        <v>3.3010299956639813</v>
      </c>
      <c r="D20" s="33"/>
      <c r="E20" s="33">
        <f t="shared" si="1"/>
        <v>0.9916644499240311</v>
      </c>
    </row>
    <row r="21" spans="2:5" ht="13.5">
      <c r="B21" s="32">
        <v>4000</v>
      </c>
      <c r="C21" s="33">
        <f t="shared" si="0"/>
        <v>3.6020599913279625</v>
      </c>
      <c r="D21" s="33"/>
      <c r="E21" s="33">
        <f t="shared" si="1"/>
        <v>0.99853686769793</v>
      </c>
    </row>
    <row r="22" spans="2:5" ht="13.5">
      <c r="B22" s="35">
        <v>8000</v>
      </c>
      <c r="C22" s="31">
        <f t="shared" si="0"/>
        <v>3.9030899869919438</v>
      </c>
      <c r="E22" s="31">
        <f t="shared" si="1"/>
        <v>0.9998123546898985</v>
      </c>
    </row>
    <row r="23" spans="2:5" ht="13.5">
      <c r="B23" s="35">
        <v>10000</v>
      </c>
      <c r="C23" s="33">
        <f>LOG(B23)</f>
        <v>4</v>
      </c>
      <c r="E23" s="31">
        <f t="shared" si="1"/>
        <v>0.9999094708092829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1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3.50390625" style="38" customWidth="1"/>
    <col min="2" max="2" width="6.00390625" style="38" customWidth="1"/>
    <col min="3" max="4" width="8.00390625" style="38" customWidth="1"/>
    <col min="5" max="7" width="6.125" style="38" customWidth="1"/>
    <col min="8" max="8" width="8.00390625" style="38" customWidth="1"/>
    <col min="9" max="11" width="6.75390625" style="38" customWidth="1"/>
    <col min="12" max="14" width="6.125" style="38" customWidth="1"/>
    <col min="15" max="16384" width="6.75390625" style="38" customWidth="1"/>
  </cols>
  <sheetData>
    <row r="1" spans="1:10" ht="14.25">
      <c r="A1" s="36" t="s">
        <v>98</v>
      </c>
      <c r="B1" s="36" t="s">
        <v>99</v>
      </c>
      <c r="C1" s="36" t="s">
        <v>100</v>
      </c>
      <c r="D1" s="36" t="s">
        <v>119</v>
      </c>
      <c r="E1" s="36" t="s">
        <v>101</v>
      </c>
      <c r="F1" s="37"/>
      <c r="G1" s="37"/>
      <c r="H1" s="36" t="s">
        <v>102</v>
      </c>
      <c r="I1" s="37"/>
      <c r="J1" s="37"/>
    </row>
    <row r="2" spans="1:11" ht="15">
      <c r="A2" s="39" t="s">
        <v>103</v>
      </c>
      <c r="B2" s="39" t="s">
        <v>104</v>
      </c>
      <c r="C2" s="40" t="s">
        <v>105</v>
      </c>
      <c r="D2" s="39" t="s">
        <v>120</v>
      </c>
      <c r="E2" s="39" t="s">
        <v>106</v>
      </c>
      <c r="F2" s="40" t="s">
        <v>107</v>
      </c>
      <c r="G2" s="39" t="s">
        <v>108</v>
      </c>
      <c r="H2" s="40" t="s">
        <v>109</v>
      </c>
      <c r="I2" s="39" t="s">
        <v>110</v>
      </c>
      <c r="J2" s="39" t="s">
        <v>111</v>
      </c>
      <c r="K2" s="39" t="s">
        <v>112</v>
      </c>
    </row>
    <row r="3" spans="1:15" ht="15">
      <c r="A3" s="41">
        <v>0</v>
      </c>
      <c r="B3" s="41">
        <v>1000000</v>
      </c>
      <c r="C3" s="42">
        <f>B3/B$3</f>
        <v>1</v>
      </c>
      <c r="D3" s="43">
        <f>C4/C3</f>
        <v>6.2E-05</v>
      </c>
      <c r="E3" s="41">
        <v>0</v>
      </c>
      <c r="F3" s="41"/>
      <c r="G3" s="41"/>
      <c r="H3" s="42">
        <v>1</v>
      </c>
      <c r="I3" s="41"/>
      <c r="J3" s="41"/>
      <c r="K3" s="41">
        <f>1-C4/C3</f>
        <v>0.999938</v>
      </c>
      <c r="L3" s="38">
        <f>C3*A3+L4</f>
        <v>0.0003759999999999999</v>
      </c>
      <c r="M3" s="38">
        <f aca="true" t="shared" si="0" ref="M3:M10">M4+C3</f>
        <v>1.000153</v>
      </c>
      <c r="N3" s="38">
        <f aca="true" t="shared" si="1" ref="N3:N10">L3/M3-A3</f>
        <v>0.00037594248080043743</v>
      </c>
      <c r="O3" s="38">
        <f>E3/10000</f>
        <v>0</v>
      </c>
    </row>
    <row r="4" spans="1:15" ht="15">
      <c r="A4" s="41">
        <f>A3+1</f>
        <v>1</v>
      </c>
      <c r="B4" s="41">
        <v>62</v>
      </c>
      <c r="C4" s="43">
        <f aca="true" t="shared" si="2" ref="C4:C11">B4/B$3</f>
        <v>6.2E-05</v>
      </c>
      <c r="D4" s="45">
        <f aca="true" t="shared" si="3" ref="D4:D11">C5/C4</f>
        <v>0.5483870967741935</v>
      </c>
      <c r="E4" s="41">
        <v>4600</v>
      </c>
      <c r="F4" s="46">
        <f aca="true" t="shared" si="4" ref="F4:F11">C4*E4</f>
        <v>0.2852</v>
      </c>
      <c r="G4" s="46">
        <f aca="true" t="shared" si="5" ref="G4:G11">A4*F4</f>
        <v>0.2852</v>
      </c>
      <c r="H4" s="43">
        <f aca="true" t="shared" si="6" ref="H4:H11">H$3*C4/EXP($C$14*A4)</f>
        <v>5.696415402865276E-05</v>
      </c>
      <c r="I4" s="41">
        <f aca="true" t="shared" si="7" ref="I4:I11">E4*H4</f>
        <v>0.2620351085318027</v>
      </c>
      <c r="J4" s="41">
        <f aca="true" t="shared" si="8" ref="J4:J11">A4*E4*H4</f>
        <v>0.2620351085318027</v>
      </c>
      <c r="K4" s="41">
        <f aca="true" t="shared" si="9" ref="K4:K11">1-C5/C4</f>
        <v>0.4516129032258065</v>
      </c>
      <c r="L4" s="38">
        <f aca="true" t="shared" si="10" ref="L4:L10">C4*A4+L5</f>
        <v>0.0003759999999999999</v>
      </c>
      <c r="M4" s="38">
        <f t="shared" si="0"/>
        <v>0.000153</v>
      </c>
      <c r="N4" s="38">
        <f t="shared" si="1"/>
        <v>1.4575163398692803</v>
      </c>
      <c r="O4" s="38">
        <f aca="true" t="shared" si="11" ref="O4:O11">E4/10000</f>
        <v>0.46</v>
      </c>
    </row>
    <row r="5" spans="1:15" ht="15">
      <c r="A5" s="41">
        <f aca="true" t="shared" si="12" ref="A5:A12">A4+1</f>
        <v>2</v>
      </c>
      <c r="B5" s="41">
        <v>34</v>
      </c>
      <c r="C5" s="43">
        <f t="shared" si="2"/>
        <v>3.4E-05</v>
      </c>
      <c r="D5" s="45">
        <f t="shared" si="3"/>
        <v>0.5882352941176471</v>
      </c>
      <c r="E5" s="41">
        <v>8700</v>
      </c>
      <c r="F5" s="46">
        <f t="shared" si="4"/>
        <v>0.2958</v>
      </c>
      <c r="G5" s="46">
        <f t="shared" si="5"/>
        <v>0.5916</v>
      </c>
      <c r="H5" s="43">
        <f t="shared" si="6"/>
        <v>2.870111984984458E-05</v>
      </c>
      <c r="I5" s="41">
        <f t="shared" si="7"/>
        <v>0.24969974269364784</v>
      </c>
      <c r="J5" s="41">
        <f t="shared" si="8"/>
        <v>0.49939948538729567</v>
      </c>
      <c r="K5" s="41">
        <f t="shared" si="9"/>
        <v>0.4117647058823529</v>
      </c>
      <c r="L5" s="38">
        <f t="shared" si="10"/>
        <v>0.00031399999999999993</v>
      </c>
      <c r="M5" s="38">
        <f t="shared" si="0"/>
        <v>9.1E-05</v>
      </c>
      <c r="N5" s="38">
        <f t="shared" si="1"/>
        <v>1.4505494505494498</v>
      </c>
      <c r="O5" s="38">
        <f t="shared" si="11"/>
        <v>0.87</v>
      </c>
    </row>
    <row r="6" spans="1:15" ht="15">
      <c r="A6" s="41">
        <f t="shared" si="12"/>
        <v>3</v>
      </c>
      <c r="B6" s="41">
        <v>20</v>
      </c>
      <c r="C6" s="43">
        <f t="shared" si="2"/>
        <v>2E-05</v>
      </c>
      <c r="D6" s="45">
        <f t="shared" si="3"/>
        <v>0.775</v>
      </c>
      <c r="E6" s="41">
        <v>11600</v>
      </c>
      <c r="F6" s="46">
        <f t="shared" si="4"/>
        <v>0.232</v>
      </c>
      <c r="G6" s="46">
        <f t="shared" si="5"/>
        <v>0.6960000000000001</v>
      </c>
      <c r="H6" s="43">
        <f t="shared" si="6"/>
        <v>1.5511717380658157E-05</v>
      </c>
      <c r="I6" s="41">
        <f t="shared" si="7"/>
        <v>0.17993592161563463</v>
      </c>
      <c r="J6" s="41">
        <f t="shared" si="8"/>
        <v>0.5398077648469038</v>
      </c>
      <c r="K6" s="41">
        <f t="shared" si="9"/>
        <v>0.22499999999999998</v>
      </c>
      <c r="L6" s="38">
        <f t="shared" si="10"/>
        <v>0.00024599999999999996</v>
      </c>
      <c r="M6" s="38">
        <f t="shared" si="0"/>
        <v>5.7E-05</v>
      </c>
      <c r="N6" s="38">
        <f t="shared" si="1"/>
        <v>1.3157894736842097</v>
      </c>
      <c r="O6" s="38">
        <f t="shared" si="11"/>
        <v>1.16</v>
      </c>
    </row>
    <row r="7" spans="1:15" ht="15">
      <c r="A7" s="41">
        <f t="shared" si="12"/>
        <v>4</v>
      </c>
      <c r="B7" s="41">
        <v>15.5</v>
      </c>
      <c r="C7" s="43">
        <f t="shared" si="2"/>
        <v>1.55E-05</v>
      </c>
      <c r="D7" s="45">
        <f t="shared" si="3"/>
        <v>0.7096774193548386</v>
      </c>
      <c r="E7" s="41">
        <v>12700</v>
      </c>
      <c r="F7" s="46">
        <f t="shared" si="4"/>
        <v>0.19685</v>
      </c>
      <c r="G7" s="46">
        <f t="shared" si="5"/>
        <v>0.7874</v>
      </c>
      <c r="H7" s="43">
        <f t="shared" si="6"/>
        <v>1.1045148226509266E-05</v>
      </c>
      <c r="I7" s="41">
        <f t="shared" si="7"/>
        <v>0.14027338247666768</v>
      </c>
      <c r="J7" s="41">
        <f t="shared" si="8"/>
        <v>0.5610935299066707</v>
      </c>
      <c r="K7" s="41">
        <f t="shared" si="9"/>
        <v>0.29032258064516137</v>
      </c>
      <c r="L7" s="38">
        <f t="shared" si="10"/>
        <v>0.00018599999999999997</v>
      </c>
      <c r="M7" s="38">
        <f t="shared" si="0"/>
        <v>3.7000000000000005E-05</v>
      </c>
      <c r="N7" s="38">
        <f t="shared" si="1"/>
        <v>1.0270270270270254</v>
      </c>
      <c r="O7" s="38">
        <f t="shared" si="11"/>
        <v>1.27</v>
      </c>
    </row>
    <row r="8" spans="1:15" ht="15">
      <c r="A8" s="41">
        <f t="shared" si="12"/>
        <v>5</v>
      </c>
      <c r="B8" s="41">
        <v>11</v>
      </c>
      <c r="C8" s="43">
        <f t="shared" si="2"/>
        <v>1.1E-05</v>
      </c>
      <c r="D8" s="45">
        <f t="shared" si="3"/>
        <v>0.5909090909090909</v>
      </c>
      <c r="E8" s="41">
        <v>12700</v>
      </c>
      <c r="F8" s="46">
        <f t="shared" si="4"/>
        <v>0.1397</v>
      </c>
      <c r="G8" s="46">
        <f t="shared" si="5"/>
        <v>0.6984999999999999</v>
      </c>
      <c r="H8" s="43">
        <f t="shared" si="6"/>
        <v>7.201823905604495E-06</v>
      </c>
      <c r="I8" s="41">
        <f t="shared" si="7"/>
        <v>0.0914631636011771</v>
      </c>
      <c r="J8" s="41">
        <f t="shared" si="8"/>
        <v>0.45731581800588544</v>
      </c>
      <c r="K8" s="41">
        <f t="shared" si="9"/>
        <v>0.40909090909090906</v>
      </c>
      <c r="L8" s="38">
        <f t="shared" si="10"/>
        <v>0.00012399999999999998</v>
      </c>
      <c r="M8" s="38">
        <f t="shared" si="0"/>
        <v>2.15E-05</v>
      </c>
      <c r="N8" s="38">
        <f t="shared" si="1"/>
        <v>0.767441860465115</v>
      </c>
      <c r="O8" s="38">
        <f t="shared" si="11"/>
        <v>1.27</v>
      </c>
    </row>
    <row r="9" spans="1:15" ht="15">
      <c r="A9" s="41">
        <f t="shared" si="12"/>
        <v>6</v>
      </c>
      <c r="B9" s="41">
        <v>6.5</v>
      </c>
      <c r="C9" s="43">
        <f t="shared" si="2"/>
        <v>6.5E-06</v>
      </c>
      <c r="D9" s="45">
        <f t="shared" si="3"/>
        <v>0.3076923076923077</v>
      </c>
      <c r="E9" s="41">
        <v>12700</v>
      </c>
      <c r="F9" s="46">
        <f t="shared" si="4"/>
        <v>0.08255</v>
      </c>
      <c r="G9" s="46">
        <f t="shared" si="5"/>
        <v>0.49529999999999996</v>
      </c>
      <c r="H9" s="43">
        <f t="shared" si="6"/>
        <v>3.9099673615829504E-06</v>
      </c>
      <c r="I9" s="41">
        <f t="shared" si="7"/>
        <v>0.04965658549210347</v>
      </c>
      <c r="J9" s="41">
        <f t="shared" si="8"/>
        <v>0.29793951295262083</v>
      </c>
      <c r="K9" s="41">
        <f t="shared" si="9"/>
        <v>0.6923076923076923</v>
      </c>
      <c r="L9" s="38">
        <f t="shared" si="10"/>
        <v>6.9E-05</v>
      </c>
      <c r="M9" s="38">
        <f t="shared" si="0"/>
        <v>1.05E-05</v>
      </c>
      <c r="N9" s="38">
        <f t="shared" si="1"/>
        <v>0.5714285714285712</v>
      </c>
      <c r="O9" s="38">
        <f t="shared" si="11"/>
        <v>1.27</v>
      </c>
    </row>
    <row r="10" spans="1:15" ht="15">
      <c r="A10" s="41">
        <f t="shared" si="12"/>
        <v>7</v>
      </c>
      <c r="B10" s="41">
        <v>2</v>
      </c>
      <c r="C10" s="43">
        <f t="shared" si="2"/>
        <v>2E-06</v>
      </c>
      <c r="D10" s="45">
        <f t="shared" si="3"/>
        <v>1</v>
      </c>
      <c r="E10" s="41">
        <v>12700</v>
      </c>
      <c r="F10" s="46">
        <f t="shared" si="4"/>
        <v>0.0254</v>
      </c>
      <c r="G10" s="46">
        <f t="shared" si="5"/>
        <v>0.17779999999999999</v>
      </c>
      <c r="H10" s="43">
        <f t="shared" si="6"/>
        <v>1.1053497917231573E-06</v>
      </c>
      <c r="I10" s="41">
        <f t="shared" si="7"/>
        <v>0.014037942354884097</v>
      </c>
      <c r="J10" s="41">
        <f t="shared" si="8"/>
        <v>0.09826559648418869</v>
      </c>
      <c r="K10" s="41"/>
      <c r="L10" s="38">
        <f t="shared" si="10"/>
        <v>2.9999999999999997E-05</v>
      </c>
      <c r="M10" s="38">
        <f t="shared" si="0"/>
        <v>4E-06</v>
      </c>
      <c r="N10" s="38">
        <f t="shared" si="1"/>
        <v>0.5</v>
      </c>
      <c r="O10" s="38">
        <f t="shared" si="11"/>
        <v>1.27</v>
      </c>
    </row>
    <row r="11" spans="1:15" ht="15">
      <c r="A11" s="41">
        <f t="shared" si="12"/>
        <v>8</v>
      </c>
      <c r="B11" s="41">
        <v>2</v>
      </c>
      <c r="C11" s="43">
        <f t="shared" si="2"/>
        <v>2E-06</v>
      </c>
      <c r="D11" s="45">
        <f t="shared" si="3"/>
        <v>0</v>
      </c>
      <c r="E11" s="41">
        <v>12700</v>
      </c>
      <c r="F11" s="46">
        <f t="shared" si="4"/>
        <v>0.0254</v>
      </c>
      <c r="G11" s="46">
        <f t="shared" si="5"/>
        <v>0.2032</v>
      </c>
      <c r="H11" s="43">
        <f t="shared" si="6"/>
        <v>1.015569609536406E-06</v>
      </c>
      <c r="I11" s="41">
        <f t="shared" si="7"/>
        <v>0.012897734041112358</v>
      </c>
      <c r="J11" s="41">
        <f t="shared" si="8"/>
        <v>0.10318187232889886</v>
      </c>
      <c r="K11" s="41">
        <f t="shared" si="9"/>
        <v>1</v>
      </c>
      <c r="L11" s="38">
        <f>C11*A11+L13</f>
        <v>1.6E-05</v>
      </c>
      <c r="M11" s="38">
        <f>M13+C11</f>
        <v>2E-06</v>
      </c>
      <c r="N11" s="38">
        <f>L11/M11-A11</f>
        <v>0</v>
      </c>
      <c r="O11" s="38">
        <f t="shared" si="11"/>
        <v>1.27</v>
      </c>
    </row>
    <row r="12" spans="1:11" ht="15">
      <c r="A12" s="41">
        <f t="shared" si="12"/>
        <v>9</v>
      </c>
      <c r="B12" s="41"/>
      <c r="C12" s="43"/>
      <c r="D12" s="45"/>
      <c r="E12" s="41"/>
      <c r="F12" s="46"/>
      <c r="G12" s="46"/>
      <c r="H12" s="43"/>
      <c r="I12" s="41"/>
      <c r="J12" s="41"/>
      <c r="K12" s="41"/>
    </row>
    <row r="13" spans="1:11" ht="15">
      <c r="A13" s="38" t="s">
        <v>113</v>
      </c>
      <c r="E13" s="41" t="s">
        <v>114</v>
      </c>
      <c r="F13" s="46">
        <f>SUM(F4:F11)</f>
        <v>1.2829</v>
      </c>
      <c r="G13" s="46">
        <f>SUM(G4:G11)</f>
        <v>3.9349999999999996</v>
      </c>
      <c r="H13" s="44">
        <f>SUM(H3:H11)</f>
        <v>1.0001254548501541</v>
      </c>
      <c r="I13" s="41">
        <f>SUM(I4:I11)</f>
        <v>0.9999995808070299</v>
      </c>
      <c r="J13" s="41">
        <f>SUM(J4:J11)</f>
        <v>2.819038688444267</v>
      </c>
      <c r="K13" s="41"/>
    </row>
    <row r="14" spans="2:3" ht="13.5">
      <c r="B14" s="38" t="s">
        <v>115</v>
      </c>
      <c r="C14" s="38">
        <v>0.08471219172673286</v>
      </c>
    </row>
    <row r="15" spans="2:3" ht="13.5">
      <c r="B15" s="38" t="s">
        <v>116</v>
      </c>
      <c r="C15" s="38">
        <f>LN(F13)/C14</f>
        <v>2.9408180238894817</v>
      </c>
    </row>
    <row r="16" spans="2:4" ht="13.5">
      <c r="B16" s="38" t="s">
        <v>117</v>
      </c>
      <c r="C16" s="38">
        <f>G13/F13</f>
        <v>3.0672694676124403</v>
      </c>
      <c r="D16" s="38">
        <f>LN(F13)/C16</f>
        <v>0.08121984158994502</v>
      </c>
    </row>
    <row r="17" spans="2:3" ht="13.5">
      <c r="B17" s="38" t="s">
        <v>118</v>
      </c>
      <c r="C17" s="38">
        <f>J13/I13</f>
        <v>2.819039870165963</v>
      </c>
    </row>
  </sheetData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" sqref="H4"/>
    </sheetView>
  </sheetViews>
  <sheetFormatPr defaultColWidth="9.00390625" defaultRowHeight="13.5"/>
  <cols>
    <col min="1" max="1" width="9.50390625" style="0" bestFit="1" customWidth="1"/>
    <col min="2" max="2" width="13.875" style="0" bestFit="1" customWidth="1"/>
    <col min="3" max="8" width="9.125" style="0" bestFit="1" customWidth="1"/>
  </cols>
  <sheetData>
    <row r="1" spans="3:5" ht="13.5">
      <c r="C1">
        <v>0.01</v>
      </c>
      <c r="D1">
        <v>0.5</v>
      </c>
      <c r="E1">
        <v>70</v>
      </c>
    </row>
    <row r="2" spans="2:5" ht="13.5">
      <c r="B2">
        <f>B4/2</f>
        <v>0.06160622957076556</v>
      </c>
      <c r="C2">
        <v>1E-05</v>
      </c>
      <c r="E2">
        <v>0.05</v>
      </c>
    </row>
    <row r="3" spans="1:5" ht="13.5">
      <c r="A3" s="47" t="s">
        <v>121</v>
      </c>
      <c r="B3" s="47" t="s">
        <v>125</v>
      </c>
      <c r="C3" t="s">
        <v>122</v>
      </c>
      <c r="D3" t="s">
        <v>123</v>
      </c>
      <c r="E3" t="s">
        <v>124</v>
      </c>
    </row>
    <row r="4" spans="1:8" ht="13.5">
      <c r="A4">
        <v>1E-06</v>
      </c>
      <c r="B4">
        <f>(D4+SQRT(D4^2+4*E4*C4))/2-1</f>
        <v>0.12321245914153112</v>
      </c>
      <c r="C4">
        <f>C$1-C$2*$A4</f>
        <v>0.00999999999</v>
      </c>
      <c r="D4">
        <f>D$1</f>
        <v>0.5</v>
      </c>
      <c r="E4">
        <f>E$1-E$2*$A4</f>
        <v>69.99999995</v>
      </c>
      <c r="F4">
        <f>C4/C$4</f>
        <v>1</v>
      </c>
      <c r="G4">
        <f aca="true" t="shared" si="0" ref="G4:G41">D4/D$4</f>
        <v>1</v>
      </c>
      <c r="H4">
        <f aca="true" t="shared" si="1" ref="H4:H41">E4/E$4</f>
        <v>1</v>
      </c>
    </row>
    <row r="5" spans="1:8" ht="13.5">
      <c r="A5">
        <v>0.1</v>
      </c>
      <c r="B5">
        <f aca="true" t="shared" si="2" ref="B5:B41">(D5+SQRT(D5^2+4*E5*C5))/2-1</f>
        <v>0.12314374818812057</v>
      </c>
      <c r="C5">
        <f>C$1-C$2*$A5</f>
        <v>0.009999000000000001</v>
      </c>
      <c r="D5">
        <f>D$1</f>
        <v>0.5</v>
      </c>
      <c r="E5">
        <f>E$1-E$2*$A5</f>
        <v>69.995</v>
      </c>
      <c r="F5">
        <f aca="true" t="shared" si="3" ref="F5:F41">C5/C$4</f>
        <v>0.9999000009999002</v>
      </c>
      <c r="G5">
        <f t="shared" si="0"/>
        <v>1</v>
      </c>
      <c r="H5">
        <f t="shared" si="1"/>
        <v>0.9999285721428062</v>
      </c>
    </row>
    <row r="6" spans="1:8" ht="13.5">
      <c r="A6">
        <f>A5*1.3</f>
        <v>0.13</v>
      </c>
      <c r="B6">
        <f t="shared" si="2"/>
        <v>0.12312313475820824</v>
      </c>
      <c r="C6">
        <f>C$1-C$2*$A6</f>
        <v>0.009998700000000001</v>
      </c>
      <c r="D6">
        <f>D$1</f>
        <v>0.5</v>
      </c>
      <c r="E6">
        <f>E$1-E$2*$A6</f>
        <v>69.9935</v>
      </c>
      <c r="F6">
        <f t="shared" si="3"/>
        <v>0.9998700009998701</v>
      </c>
      <c r="G6">
        <f t="shared" si="0"/>
        <v>1</v>
      </c>
      <c r="H6">
        <f t="shared" si="1"/>
        <v>0.9999071435713621</v>
      </c>
    </row>
    <row r="7" spans="1:8" ht="13.5">
      <c r="A7">
        <f aca="true" t="shared" si="4" ref="A7:A34">A6*1.3</f>
        <v>0.169</v>
      </c>
      <c r="B7">
        <f t="shared" si="2"/>
        <v>0.12309633734227754</v>
      </c>
      <c r="C7">
        <f aca="true" t="shared" si="5" ref="C7:C41">C$1-C$2*$A7</f>
        <v>0.00999831</v>
      </c>
      <c r="D7">
        <f aca="true" t="shared" si="6" ref="D7:D41">D$1</f>
        <v>0.5</v>
      </c>
      <c r="E7">
        <f aca="true" t="shared" si="7" ref="E7:E41">E$1-E$2*$A7</f>
        <v>69.99155</v>
      </c>
      <c r="F7">
        <f t="shared" si="3"/>
        <v>0.999831000999831</v>
      </c>
      <c r="G7">
        <f t="shared" si="0"/>
        <v>1</v>
      </c>
      <c r="H7">
        <f t="shared" si="1"/>
        <v>0.9998792864284852</v>
      </c>
    </row>
    <row r="8" spans="1:8" ht="13.5">
      <c r="A8">
        <f t="shared" si="4"/>
        <v>0.21970000000000003</v>
      </c>
      <c r="B8">
        <f t="shared" si="2"/>
        <v>0.12306150077416933</v>
      </c>
      <c r="C8">
        <f t="shared" si="5"/>
        <v>0.009997803</v>
      </c>
      <c r="D8">
        <f t="shared" si="6"/>
        <v>0.5</v>
      </c>
      <c r="E8">
        <f t="shared" si="7"/>
        <v>69.989015</v>
      </c>
      <c r="F8">
        <f t="shared" si="3"/>
        <v>0.9997803009997803</v>
      </c>
      <c r="G8">
        <f t="shared" si="0"/>
        <v>1</v>
      </c>
      <c r="H8">
        <f t="shared" si="1"/>
        <v>0.9998430721427449</v>
      </c>
    </row>
    <row r="9" spans="1:8" ht="13.5">
      <c r="A9">
        <f t="shared" si="4"/>
        <v>0.28561000000000003</v>
      </c>
      <c r="B9">
        <f t="shared" si="2"/>
        <v>0.12301621335834079</v>
      </c>
      <c r="C9">
        <f t="shared" si="5"/>
        <v>0.0099971439</v>
      </c>
      <c r="D9">
        <f t="shared" si="6"/>
        <v>0.5</v>
      </c>
      <c r="E9">
        <f t="shared" si="7"/>
        <v>69.9857195</v>
      </c>
      <c r="F9">
        <f t="shared" si="3"/>
        <v>0.9997143909997145</v>
      </c>
      <c r="G9">
        <f t="shared" si="0"/>
        <v>1</v>
      </c>
      <c r="H9">
        <f t="shared" si="1"/>
        <v>0.9997959935712828</v>
      </c>
    </row>
    <row r="10" spans="1:8" ht="13.5">
      <c r="A10">
        <f t="shared" si="4"/>
        <v>0.37129300000000004</v>
      </c>
      <c r="B10">
        <f t="shared" si="2"/>
        <v>0.12295733992517976</v>
      </c>
      <c r="C10">
        <f t="shared" si="5"/>
        <v>0.00999628707</v>
      </c>
      <c r="D10">
        <f t="shared" si="6"/>
        <v>0.5</v>
      </c>
      <c r="E10">
        <f t="shared" si="7"/>
        <v>69.98143535</v>
      </c>
      <c r="F10">
        <f t="shared" si="3"/>
        <v>0.9996287079996288</v>
      </c>
      <c r="G10">
        <f t="shared" si="0"/>
        <v>1</v>
      </c>
      <c r="H10">
        <f t="shared" si="1"/>
        <v>0.999734791428382</v>
      </c>
    </row>
    <row r="11" spans="1:8" ht="13.5">
      <c r="A11">
        <f t="shared" si="4"/>
        <v>0.4826809000000001</v>
      </c>
      <c r="B11">
        <f t="shared" si="2"/>
        <v>0.12288080481267638</v>
      </c>
      <c r="C11">
        <f t="shared" si="5"/>
        <v>0.009995173191</v>
      </c>
      <c r="D11">
        <f t="shared" si="6"/>
        <v>0.5</v>
      </c>
      <c r="E11">
        <f t="shared" si="7"/>
        <v>69.975865955</v>
      </c>
      <c r="F11">
        <f t="shared" si="3"/>
        <v>0.9995173200995174</v>
      </c>
      <c r="G11">
        <f t="shared" si="0"/>
        <v>1</v>
      </c>
      <c r="H11">
        <f t="shared" si="1"/>
        <v>0.9996552286426109</v>
      </c>
    </row>
    <row r="12" spans="1:8" ht="13.5">
      <c r="A12">
        <f t="shared" si="4"/>
        <v>0.6274851700000001</v>
      </c>
      <c r="B12">
        <f t="shared" si="2"/>
        <v>0.12278130975910528</v>
      </c>
      <c r="C12">
        <f t="shared" si="5"/>
        <v>0.009993725148300001</v>
      </c>
      <c r="D12">
        <f t="shared" si="6"/>
        <v>0.5</v>
      </c>
      <c r="E12">
        <f t="shared" si="7"/>
        <v>69.9686257415</v>
      </c>
      <c r="F12">
        <f t="shared" si="3"/>
        <v>0.9993725158293727</v>
      </c>
      <c r="G12">
        <f t="shared" si="0"/>
        <v>1</v>
      </c>
      <c r="H12">
        <f t="shared" si="1"/>
        <v>0.9995517970211084</v>
      </c>
    </row>
    <row r="13" spans="1:8" ht="13.5">
      <c r="A13">
        <f t="shared" si="4"/>
        <v>0.8157307210000002</v>
      </c>
      <c r="B13">
        <f t="shared" si="2"/>
        <v>0.12265196719144811</v>
      </c>
      <c r="C13">
        <f t="shared" si="5"/>
        <v>0.00999184269279</v>
      </c>
      <c r="D13">
        <f t="shared" si="6"/>
        <v>0.5</v>
      </c>
      <c r="E13">
        <f t="shared" si="7"/>
        <v>69.95921346395</v>
      </c>
      <c r="F13">
        <f t="shared" si="3"/>
        <v>0.9991842702781843</v>
      </c>
      <c r="G13">
        <f t="shared" si="0"/>
        <v>1</v>
      </c>
      <c r="H13">
        <f t="shared" si="1"/>
        <v>0.9994173359131551</v>
      </c>
    </row>
    <row r="14" spans="1:8" ht="13.5">
      <c r="A14">
        <f t="shared" si="4"/>
        <v>1.0604499373000003</v>
      </c>
      <c r="B14">
        <f t="shared" si="2"/>
        <v>0.12248382354762022</v>
      </c>
      <c r="C14">
        <f t="shared" si="5"/>
        <v>0.009989395500627</v>
      </c>
      <c r="D14">
        <f t="shared" si="6"/>
        <v>0.5</v>
      </c>
      <c r="E14">
        <f t="shared" si="7"/>
        <v>69.946977503135</v>
      </c>
      <c r="F14">
        <f t="shared" si="3"/>
        <v>0.9989395510616396</v>
      </c>
      <c r="G14">
        <f t="shared" si="0"/>
        <v>1</v>
      </c>
      <c r="H14">
        <f t="shared" si="1"/>
        <v>0.9992425364728161</v>
      </c>
    </row>
    <row r="15" spans="1:8" ht="13.5">
      <c r="A15">
        <f t="shared" si="4"/>
        <v>1.3785849184900003</v>
      </c>
      <c r="B15">
        <f t="shared" si="2"/>
        <v>0.12226523967541025</v>
      </c>
      <c r="C15">
        <f t="shared" si="5"/>
        <v>0.0099862141508151</v>
      </c>
      <c r="D15">
        <f t="shared" si="6"/>
        <v>0.5</v>
      </c>
      <c r="E15">
        <f t="shared" si="7"/>
        <v>69.9310707540755</v>
      </c>
      <c r="F15">
        <f t="shared" si="3"/>
        <v>0.9986214160801316</v>
      </c>
      <c r="G15">
        <f t="shared" si="0"/>
        <v>1</v>
      </c>
      <c r="H15">
        <f t="shared" si="1"/>
        <v>0.9990152972003753</v>
      </c>
    </row>
    <row r="16" spans="1:8" ht="13.5">
      <c r="A16">
        <f t="shared" si="4"/>
        <v>1.7921603940370006</v>
      </c>
      <c r="B16">
        <f t="shared" si="2"/>
        <v>0.1219810854867176</v>
      </c>
      <c r="C16">
        <f t="shared" si="5"/>
        <v>0.00998207839605963</v>
      </c>
      <c r="D16">
        <f t="shared" si="6"/>
        <v>0.5</v>
      </c>
      <c r="E16">
        <f t="shared" si="7"/>
        <v>69.91039198029814</v>
      </c>
      <c r="F16">
        <f t="shared" si="3"/>
        <v>0.9982078406041709</v>
      </c>
      <c r="G16">
        <f t="shared" si="0"/>
        <v>1</v>
      </c>
      <c r="H16">
        <f t="shared" si="1"/>
        <v>0.9987198861462019</v>
      </c>
    </row>
    <row r="17" spans="1:8" ht="13.5">
      <c r="A17">
        <f t="shared" si="4"/>
        <v>2.3298085122481007</v>
      </c>
      <c r="B17">
        <f t="shared" si="2"/>
        <v>0.12161169323796583</v>
      </c>
      <c r="C17">
        <f t="shared" si="5"/>
        <v>0.009976701914877519</v>
      </c>
      <c r="D17">
        <f t="shared" si="6"/>
        <v>0.5</v>
      </c>
      <c r="E17">
        <f t="shared" si="7"/>
        <v>69.88350957438759</v>
      </c>
      <c r="F17">
        <f t="shared" si="3"/>
        <v>0.9976701924854221</v>
      </c>
      <c r="G17">
        <f t="shared" si="0"/>
        <v>1</v>
      </c>
      <c r="H17">
        <f t="shared" si="1"/>
        <v>0.9983358517757768</v>
      </c>
    </row>
    <row r="18" spans="1:8" ht="13.5">
      <c r="A18">
        <f t="shared" si="4"/>
        <v>3.028751065922531</v>
      </c>
      <c r="B18">
        <f t="shared" si="2"/>
        <v>0.12113149718478367</v>
      </c>
      <c r="C18">
        <f t="shared" si="5"/>
        <v>0.009969712489340775</v>
      </c>
      <c r="D18">
        <f t="shared" si="6"/>
        <v>0.5</v>
      </c>
      <c r="E18">
        <f t="shared" si="7"/>
        <v>69.84856244670388</v>
      </c>
      <c r="F18">
        <f t="shared" si="3"/>
        <v>0.9969712499310488</v>
      </c>
      <c r="G18">
        <f t="shared" si="0"/>
        <v>1</v>
      </c>
      <c r="H18">
        <f t="shared" si="1"/>
        <v>0.9978366070942244</v>
      </c>
    </row>
    <row r="19" spans="1:8" ht="13.5">
      <c r="A19">
        <f t="shared" si="4"/>
        <v>3.9373763856992907</v>
      </c>
      <c r="B19">
        <f t="shared" si="2"/>
        <v>0.12050726579596249</v>
      </c>
      <c r="C19">
        <f t="shared" si="5"/>
        <v>0.009960626236143008</v>
      </c>
      <c r="D19">
        <f t="shared" si="6"/>
        <v>0.5</v>
      </c>
      <c r="E19">
        <f t="shared" si="7"/>
        <v>69.80313118071504</v>
      </c>
      <c r="F19">
        <f t="shared" si="3"/>
        <v>0.9960626246103635</v>
      </c>
      <c r="G19">
        <f t="shared" si="0"/>
        <v>1</v>
      </c>
      <c r="H19">
        <f t="shared" si="1"/>
        <v>0.9971875890082059</v>
      </c>
    </row>
    <row r="20" spans="1:8" ht="13.5">
      <c r="A20">
        <f t="shared" si="4"/>
        <v>5.118589301409078</v>
      </c>
      <c r="B20">
        <f t="shared" si="2"/>
        <v>0.11969580475964547</v>
      </c>
      <c r="C20">
        <f t="shared" si="5"/>
        <v>0.00994881410698591</v>
      </c>
      <c r="D20">
        <f t="shared" si="6"/>
        <v>0.5</v>
      </c>
      <c r="E20">
        <f t="shared" si="7"/>
        <v>69.74407053492955</v>
      </c>
      <c r="F20">
        <f t="shared" si="3"/>
        <v>0.9948814116934724</v>
      </c>
      <c r="G20">
        <f t="shared" si="0"/>
        <v>1</v>
      </c>
      <c r="H20">
        <f t="shared" si="1"/>
        <v>0.996343865496382</v>
      </c>
    </row>
    <row r="21" spans="1:8" ht="13.5">
      <c r="A21">
        <f t="shared" si="4"/>
        <v>6.654166091831802</v>
      </c>
      <c r="B21">
        <f t="shared" si="2"/>
        <v>0.11864097281500063</v>
      </c>
      <c r="C21">
        <f t="shared" si="5"/>
        <v>0.009933458339081682</v>
      </c>
      <c r="D21">
        <f t="shared" si="6"/>
        <v>0.5</v>
      </c>
      <c r="E21">
        <f t="shared" si="7"/>
        <v>69.66729169540841</v>
      </c>
      <c r="F21">
        <f t="shared" si="3"/>
        <v>0.9933458349015141</v>
      </c>
      <c r="G21">
        <f t="shared" si="0"/>
        <v>1</v>
      </c>
      <c r="H21">
        <f t="shared" si="1"/>
        <v>0.9952470249310108</v>
      </c>
    </row>
    <row r="22" spans="1:8" ht="13.5">
      <c r="A22">
        <f t="shared" si="4"/>
        <v>8.650415919381343</v>
      </c>
      <c r="B22">
        <f t="shared" si="2"/>
        <v>0.11726980562252454</v>
      </c>
      <c r="C22">
        <f t="shared" si="5"/>
        <v>0.009913495840806186</v>
      </c>
      <c r="D22">
        <f t="shared" si="6"/>
        <v>0.5</v>
      </c>
      <c r="E22">
        <f t="shared" si="7"/>
        <v>69.56747920403093</v>
      </c>
      <c r="F22">
        <f t="shared" si="3"/>
        <v>0.9913495850719682</v>
      </c>
      <c r="G22">
        <f t="shared" si="0"/>
        <v>1</v>
      </c>
      <c r="H22">
        <f t="shared" si="1"/>
        <v>0.9938211321960284</v>
      </c>
    </row>
    <row r="23" spans="1:8" ht="13.5">
      <c r="A23">
        <f t="shared" si="4"/>
        <v>11.245540695195746</v>
      </c>
      <c r="B23">
        <f t="shared" si="2"/>
        <v>0.11548748243895979</v>
      </c>
      <c r="C23">
        <f t="shared" si="5"/>
        <v>0.009887544593048043</v>
      </c>
      <c r="D23">
        <f t="shared" si="6"/>
        <v>0.5</v>
      </c>
      <c r="E23">
        <f t="shared" si="7"/>
        <v>69.43772296524021</v>
      </c>
      <c r="F23">
        <f t="shared" si="3"/>
        <v>0.9887544602935588</v>
      </c>
      <c r="G23">
        <f t="shared" si="0"/>
        <v>1</v>
      </c>
      <c r="H23">
        <f t="shared" si="1"/>
        <v>0.9919674716405512</v>
      </c>
    </row>
    <row r="24" spans="1:8" ht="13.5">
      <c r="A24">
        <f t="shared" si="4"/>
        <v>14.61920290375447</v>
      </c>
      <c r="B24">
        <f t="shared" si="2"/>
        <v>0.11317079252154105</v>
      </c>
      <c r="C24">
        <f t="shared" si="5"/>
        <v>0.009853807970962455</v>
      </c>
      <c r="D24">
        <f t="shared" si="6"/>
        <v>0.5</v>
      </c>
      <c r="E24">
        <f t="shared" si="7"/>
        <v>69.26903985481228</v>
      </c>
      <c r="F24">
        <f t="shared" si="3"/>
        <v>0.9853807980816264</v>
      </c>
      <c r="G24">
        <f t="shared" si="0"/>
        <v>1</v>
      </c>
      <c r="H24">
        <f t="shared" si="1"/>
        <v>0.9895577129184309</v>
      </c>
    </row>
    <row r="25" spans="1:8" ht="13.5">
      <c r="A25">
        <f t="shared" si="4"/>
        <v>19.00496377488081</v>
      </c>
      <c r="B25">
        <f t="shared" si="2"/>
        <v>0.11015965831593455</v>
      </c>
      <c r="C25">
        <f t="shared" si="5"/>
        <v>0.009809950362251192</v>
      </c>
      <c r="D25">
        <f t="shared" si="6"/>
        <v>0.5</v>
      </c>
      <c r="E25">
        <f t="shared" si="7"/>
        <v>69.04975181125596</v>
      </c>
      <c r="F25">
        <f t="shared" si="3"/>
        <v>0.9809950372061144</v>
      </c>
      <c r="G25">
        <f t="shared" si="0"/>
        <v>1</v>
      </c>
      <c r="H25">
        <f t="shared" si="1"/>
        <v>0.9864250265796743</v>
      </c>
    </row>
    <row r="26" spans="1:8" ht="13.5">
      <c r="A26">
        <f t="shared" si="4"/>
        <v>24.706452907345053</v>
      </c>
      <c r="B26">
        <f t="shared" si="2"/>
        <v>0.10624614505340535</v>
      </c>
      <c r="C26">
        <f t="shared" si="5"/>
        <v>0.00975293547092655</v>
      </c>
      <c r="D26">
        <f t="shared" si="6"/>
        <v>0.5</v>
      </c>
      <c r="E26">
        <f t="shared" si="7"/>
        <v>68.76467735463275</v>
      </c>
      <c r="F26">
        <f t="shared" si="3"/>
        <v>0.9752935480679487</v>
      </c>
      <c r="G26">
        <f t="shared" si="0"/>
        <v>1</v>
      </c>
      <c r="H26">
        <f t="shared" si="1"/>
        <v>0.982352534339291</v>
      </c>
    </row>
    <row r="27" spans="1:8" ht="13.5">
      <c r="A27">
        <f t="shared" si="4"/>
        <v>32.11838877954857</v>
      </c>
      <c r="B27">
        <f t="shared" si="2"/>
        <v>0.10116022517117118</v>
      </c>
      <c r="C27">
        <f t="shared" si="5"/>
        <v>0.009678816112204515</v>
      </c>
      <c r="D27">
        <f t="shared" si="6"/>
        <v>0.5</v>
      </c>
      <c r="E27">
        <f t="shared" si="7"/>
        <v>68.39408056102258</v>
      </c>
      <c r="F27">
        <f t="shared" si="3"/>
        <v>0.9678816121883331</v>
      </c>
      <c r="G27">
        <f t="shared" si="0"/>
        <v>1</v>
      </c>
      <c r="H27">
        <f t="shared" si="1"/>
        <v>0.9770582944267927</v>
      </c>
    </row>
    <row r="28" spans="1:8" ht="13.5">
      <c r="A28">
        <f t="shared" si="4"/>
        <v>41.753905413413136</v>
      </c>
      <c r="B28">
        <f t="shared" si="2"/>
        <v>0.09455136481598347</v>
      </c>
      <c r="C28">
        <f t="shared" si="5"/>
        <v>0.00958246094586587</v>
      </c>
      <c r="D28">
        <f t="shared" si="6"/>
        <v>0.5</v>
      </c>
      <c r="E28">
        <f t="shared" si="7"/>
        <v>67.91230472932935</v>
      </c>
      <c r="F28">
        <f t="shared" si="3"/>
        <v>0.9582460955448331</v>
      </c>
      <c r="G28">
        <f t="shared" si="0"/>
        <v>1</v>
      </c>
      <c r="H28">
        <f t="shared" si="1"/>
        <v>0.9701757825405448</v>
      </c>
    </row>
    <row r="29" spans="1:8" ht="13.5">
      <c r="A29">
        <f t="shared" si="4"/>
        <v>54.28007703743708</v>
      </c>
      <c r="B29">
        <f t="shared" si="2"/>
        <v>0.08596475460193331</v>
      </c>
      <c r="C29">
        <f t="shared" si="5"/>
        <v>0.009457199229625629</v>
      </c>
      <c r="D29">
        <f t="shared" si="6"/>
        <v>0.5</v>
      </c>
      <c r="E29">
        <f t="shared" si="7"/>
        <v>67.28599614812815</v>
      </c>
      <c r="F29">
        <f t="shared" si="3"/>
        <v>0.9457199239082829</v>
      </c>
      <c r="G29">
        <f t="shared" si="0"/>
        <v>1</v>
      </c>
      <c r="H29">
        <f t="shared" si="1"/>
        <v>0.9612285170884225</v>
      </c>
    </row>
    <row r="30" spans="1:8" ht="13.5">
      <c r="A30">
        <f t="shared" si="4"/>
        <v>70.5641001486682</v>
      </c>
      <c r="B30">
        <f t="shared" si="2"/>
        <v>0.07481072127882404</v>
      </c>
      <c r="C30">
        <f t="shared" si="5"/>
        <v>0.009294358998513318</v>
      </c>
      <c r="D30">
        <f t="shared" si="6"/>
        <v>0.5</v>
      </c>
      <c r="E30">
        <f t="shared" si="7"/>
        <v>66.47179499256659</v>
      </c>
      <c r="F30">
        <f t="shared" si="3"/>
        <v>0.9294359007807678</v>
      </c>
      <c r="G30">
        <f t="shared" si="0"/>
        <v>1</v>
      </c>
      <c r="H30">
        <f t="shared" si="1"/>
        <v>0.9495970720006633</v>
      </c>
    </row>
    <row r="31" spans="1:8" s="48" customFormat="1" ht="13.5">
      <c r="A31" s="48">
        <v>89.8610004713617</v>
      </c>
      <c r="B31" s="48">
        <f>(D31+SQRT(D31^2+4*E31*C31))/2-1</f>
        <v>0.06160599993914717</v>
      </c>
      <c r="C31" s="48">
        <f t="shared" si="5"/>
        <v>0.009101389995286382</v>
      </c>
      <c r="D31" s="48">
        <f t="shared" si="6"/>
        <v>0.5</v>
      </c>
      <c r="E31" s="48">
        <f t="shared" si="7"/>
        <v>65.50694997643191</v>
      </c>
      <c r="F31" s="48">
        <f aca="true" t="shared" si="8" ref="F31:H32">C31/C$4</f>
        <v>0.9101390004387773</v>
      </c>
      <c r="G31" s="48">
        <f t="shared" si="8"/>
        <v>1</v>
      </c>
      <c r="H31" s="48">
        <f t="shared" si="8"/>
        <v>0.9358135717603226</v>
      </c>
    </row>
    <row r="32" spans="1:8" ht="13.5">
      <c r="A32">
        <f>A30*1.3</f>
        <v>91.73333019326867</v>
      </c>
      <c r="B32">
        <f>(D32+SQRT(D32^2+4*E32*C32))/2-1</f>
        <v>0.060325555380213336</v>
      </c>
      <c r="C32">
        <f>C$1-C$2*$A32</f>
        <v>0.009082666698067314</v>
      </c>
      <c r="D32">
        <f t="shared" si="6"/>
        <v>0.5</v>
      </c>
      <c r="E32">
        <f>E$1-E$2*$A32</f>
        <v>65.41333349033657</v>
      </c>
      <c r="F32">
        <f t="shared" si="8"/>
        <v>0.9082666707149981</v>
      </c>
      <c r="G32">
        <f t="shared" si="8"/>
        <v>1</v>
      </c>
      <c r="H32">
        <f t="shared" si="8"/>
        <v>0.9344761933865768</v>
      </c>
    </row>
    <row r="33" spans="1:8" ht="13.5">
      <c r="A33">
        <f>A32*1.3</f>
        <v>119.25332925124927</v>
      </c>
      <c r="B33">
        <f t="shared" si="2"/>
        <v>0.04152175154398274</v>
      </c>
      <c r="C33">
        <f t="shared" si="5"/>
        <v>0.008807466707487508</v>
      </c>
      <c r="D33">
        <f t="shared" si="6"/>
        <v>0.5</v>
      </c>
      <c r="E33">
        <f t="shared" si="7"/>
        <v>64.03733353743753</v>
      </c>
      <c r="F33">
        <f t="shared" si="3"/>
        <v>0.8807466716294975</v>
      </c>
      <c r="G33">
        <f t="shared" si="0"/>
        <v>1</v>
      </c>
      <c r="H33">
        <f t="shared" si="1"/>
        <v>0.914819051188264</v>
      </c>
    </row>
    <row r="34" spans="1:8" ht="13.5">
      <c r="A34">
        <f t="shared" si="4"/>
        <v>155.02932802662406</v>
      </c>
      <c r="B34">
        <f t="shared" si="2"/>
        <v>0.017125708500402403</v>
      </c>
      <c r="C34">
        <f t="shared" si="5"/>
        <v>0.00844970671973376</v>
      </c>
      <c r="D34">
        <f t="shared" si="6"/>
        <v>0.5</v>
      </c>
      <c r="E34">
        <f t="shared" si="7"/>
        <v>62.2485335986688</v>
      </c>
      <c r="F34">
        <f t="shared" si="3"/>
        <v>0.8449706728183467</v>
      </c>
      <c r="G34">
        <f t="shared" si="0"/>
        <v>1</v>
      </c>
      <c r="H34">
        <f t="shared" si="1"/>
        <v>0.8892647663304577</v>
      </c>
    </row>
    <row r="35" spans="1:8" s="48" customFormat="1" ht="13.5">
      <c r="A35" s="48">
        <v>180.19610210842112</v>
      </c>
      <c r="B35" s="48">
        <f>(D35+SQRT(D35^2+4*E35*C35))/2-1</f>
        <v>-3.2817141226715307E-09</v>
      </c>
      <c r="C35" s="48">
        <f t="shared" si="5"/>
        <v>0.008198038978915788</v>
      </c>
      <c r="D35" s="48">
        <f t="shared" si="6"/>
        <v>0.5</v>
      </c>
      <c r="E35" s="48">
        <f t="shared" si="7"/>
        <v>60.99019489457894</v>
      </c>
      <c r="F35" s="48">
        <f>C35/C$4</f>
        <v>0.8198038987113828</v>
      </c>
      <c r="G35" s="48">
        <f>D35/D$4</f>
        <v>1</v>
      </c>
      <c r="H35" s="48">
        <f>E35/E$4</f>
        <v>0.8712884991163338</v>
      </c>
    </row>
    <row r="36" spans="1:8" ht="13.5">
      <c r="A36">
        <f>A34*1.3</f>
        <v>201.53812643461129</v>
      </c>
      <c r="B36">
        <f t="shared" si="2"/>
        <v>-0.014498092129018869</v>
      </c>
      <c r="C36">
        <f t="shared" si="5"/>
        <v>0.007984618735653887</v>
      </c>
      <c r="D36">
        <f t="shared" si="6"/>
        <v>0.5</v>
      </c>
      <c r="E36">
        <f t="shared" si="7"/>
        <v>59.92309367826944</v>
      </c>
      <c r="F36">
        <f t="shared" si="3"/>
        <v>0.7984618743638506</v>
      </c>
      <c r="G36">
        <f t="shared" si="0"/>
        <v>1</v>
      </c>
      <c r="H36">
        <f t="shared" si="1"/>
        <v>0.8560441960153092</v>
      </c>
    </row>
    <row r="37" spans="1:8" ht="13.5">
      <c r="A37">
        <f>A36*1.3</f>
        <v>261.9995643649947</v>
      </c>
      <c r="B37">
        <f>(D37+SQRT(D37^2+4*E37*C37))/2-1</f>
        <v>-0.05543365426639779</v>
      </c>
      <c r="C37">
        <f t="shared" si="5"/>
        <v>0.007380004356350053</v>
      </c>
      <c r="D37">
        <f t="shared" si="6"/>
        <v>0.5</v>
      </c>
      <c r="E37">
        <f t="shared" si="7"/>
        <v>56.90002178175027</v>
      </c>
      <c r="F37">
        <f aca="true" t="shared" si="9" ref="F37:H40">C37/C$4</f>
        <v>0.7380004363730057</v>
      </c>
      <c r="G37">
        <f t="shared" si="9"/>
        <v>1</v>
      </c>
      <c r="H37">
        <f t="shared" si="9"/>
        <v>0.8128574546056163</v>
      </c>
    </row>
    <row r="38" spans="1:8" ht="13.5">
      <c r="A38">
        <f>A37*1.3</f>
        <v>340.5994336744931</v>
      </c>
      <c r="B38">
        <f>(D38+SQRT(D38^2+4*E38*C38))/2-1</f>
        <v>-0.10829549892469903</v>
      </c>
      <c r="C38">
        <f t="shared" si="5"/>
        <v>0.006594005663255069</v>
      </c>
      <c r="D38">
        <f t="shared" si="6"/>
        <v>0.5</v>
      </c>
      <c r="E38">
        <f t="shared" si="7"/>
        <v>52.97002831627535</v>
      </c>
      <c r="F38">
        <f t="shared" si="9"/>
        <v>0.6594005669849075</v>
      </c>
      <c r="G38">
        <f t="shared" si="9"/>
        <v>1</v>
      </c>
      <c r="H38">
        <f t="shared" si="9"/>
        <v>0.7567146907730155</v>
      </c>
    </row>
    <row r="39" spans="1:8" ht="13.5">
      <c r="A39">
        <f>A38*1.3</f>
        <v>442.7792637768411</v>
      </c>
      <c r="B39">
        <f>(D39+SQRT(D39^2+4*E39*C39))/2-1</f>
        <v>-0.17624776977934864</v>
      </c>
      <c r="C39">
        <f t="shared" si="5"/>
        <v>0.0055722073622315885</v>
      </c>
      <c r="D39">
        <f t="shared" si="6"/>
        <v>0.5</v>
      </c>
      <c r="E39">
        <f t="shared" si="7"/>
        <v>47.861036811157945</v>
      </c>
      <c r="F39">
        <f t="shared" si="9"/>
        <v>0.5572207367803796</v>
      </c>
      <c r="G39">
        <f t="shared" si="9"/>
        <v>1</v>
      </c>
      <c r="H39">
        <f t="shared" si="9"/>
        <v>0.6837290977906343</v>
      </c>
    </row>
    <row r="40" spans="1:8" ht="13.5">
      <c r="A40">
        <f>A39*1.3</f>
        <v>575.6130429098935</v>
      </c>
      <c r="B40">
        <f>(D40+SQRT(D40^2+4*E40*C40))/2-1</f>
        <v>-0.2627325825666964</v>
      </c>
      <c r="C40">
        <f t="shared" si="5"/>
        <v>0.004243869570901065</v>
      </c>
      <c r="D40">
        <f t="shared" si="6"/>
        <v>0.5</v>
      </c>
      <c r="E40">
        <f t="shared" si="7"/>
        <v>41.21934785450533</v>
      </c>
      <c r="F40">
        <f t="shared" si="9"/>
        <v>0.4243869575144935</v>
      </c>
      <c r="G40">
        <f t="shared" si="9"/>
        <v>1</v>
      </c>
      <c r="H40">
        <f t="shared" si="9"/>
        <v>0.5888478269135389</v>
      </c>
    </row>
    <row r="41" spans="1:8" ht="13.5">
      <c r="A41">
        <f>A40*1.3</f>
        <v>748.2969557828616</v>
      </c>
      <c r="B41">
        <f t="shared" si="2"/>
        <v>-0.3698450051919415</v>
      </c>
      <c r="C41">
        <f t="shared" si="5"/>
        <v>0.0025170304421713837</v>
      </c>
      <c r="D41">
        <f t="shared" si="6"/>
        <v>0.5</v>
      </c>
      <c r="E41">
        <f t="shared" si="7"/>
        <v>32.58515221085692</v>
      </c>
      <c r="F41">
        <f t="shared" si="3"/>
        <v>0.25170304446884145</v>
      </c>
      <c r="G41">
        <f t="shared" si="0"/>
        <v>1</v>
      </c>
      <c r="H41">
        <f t="shared" si="1"/>
        <v>0.4655021747733147</v>
      </c>
    </row>
  </sheetData>
  <printOptions/>
  <pageMargins left="0.75" right="0.75" top="1" bottom="1" header="0.512" footer="0.512"/>
  <pageSetup orientation="portrait" paperSize="9"/>
  <drawing r:id="rId3"/>
  <legacyDrawing r:id="rId2"/>
  <oleObjects>
    <oleObject progId="Equation.3" shapeId="16280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ｙｎｕ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hiro</cp:lastModifiedBy>
  <dcterms:created xsi:type="dcterms:W3CDTF">2008-04-05T19:53:59Z</dcterms:created>
  <dcterms:modified xsi:type="dcterms:W3CDTF">2008-10-05T02:31:41Z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